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Barnet\"/>
    </mc:Choice>
  </mc:AlternateContent>
  <bookViews>
    <workbookView xWindow="0" yWindow="0" windowWidth="28800" windowHeight="11610" tabRatio="838" firstSheet="1" activeTab="4"/>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G17" i="201"/>
  <c r="D17" i="201"/>
  <c r="D16" i="201"/>
  <c r="D15" i="201"/>
  <c r="G15" i="201" s="1"/>
  <c r="G14" i="201"/>
  <c r="D14" i="201"/>
  <c r="D13" i="201"/>
  <c r="G13" i="201" s="1"/>
  <c r="D12" i="201"/>
  <c r="D11" i="201"/>
  <c r="G11" i="201" s="1"/>
  <c r="D10" i="201"/>
  <c r="G9" i="201"/>
  <c r="D9" i="201"/>
  <c r="D8" i="201"/>
  <c r="E5" i="201"/>
  <c r="E4" i="201"/>
  <c r="D3" i="201"/>
  <c r="C3" i="201"/>
  <c r="B3" i="201"/>
  <c r="G10" i="201" l="1"/>
  <c r="E3" i="201"/>
  <c r="E17" i="201" s="1"/>
  <c r="H17" i="201" s="1"/>
  <c r="G8" i="201"/>
  <c r="E52" i="201"/>
  <c r="H52" i="201" s="1"/>
  <c r="E44" i="201"/>
  <c r="H44" i="201" s="1"/>
  <c r="G20" i="201"/>
  <c r="E24" i="201"/>
  <c r="H24" i="201" s="1"/>
  <c r="G16" i="201"/>
  <c r="E30" i="201"/>
  <c r="H30" i="201" s="1"/>
  <c r="G12" i="201"/>
  <c r="E14" i="201"/>
  <c r="H14" i="201" s="1"/>
  <c r="E15" i="201"/>
  <c r="H15" i="201" s="1"/>
  <c r="E27" i="201"/>
  <c r="H27" i="201" s="1"/>
  <c r="E35" i="201"/>
  <c r="H35" i="201" s="1"/>
  <c r="E43" i="201"/>
  <c r="H43" i="201" s="1"/>
  <c r="E51" i="201"/>
  <c r="H51" i="201" s="1"/>
  <c r="E57" i="201" l="1"/>
  <c r="H57" i="201" s="1"/>
  <c r="E49" i="201"/>
  <c r="H49" i="201" s="1"/>
  <c r="E41" i="201"/>
  <c r="H41" i="201" s="1"/>
  <c r="E33" i="201"/>
  <c r="H33" i="201" s="1"/>
  <c r="E25" i="201"/>
  <c r="H25" i="201" s="1"/>
  <c r="E11" i="201"/>
  <c r="H11" i="201" s="1"/>
  <c r="E36" i="201"/>
  <c r="H36" i="201" s="1"/>
  <c r="E12" i="201"/>
  <c r="E9" i="201"/>
  <c r="H9" i="201" s="1"/>
  <c r="E22" i="201"/>
  <c r="H22" i="201" s="1"/>
  <c r="E13" i="201"/>
  <c r="H13" i="201" s="1"/>
  <c r="E46" i="201"/>
  <c r="H46" i="201" s="1"/>
  <c r="E54" i="201"/>
  <c r="H54" i="201" s="1"/>
  <c r="E8" i="201"/>
  <c r="E26" i="201"/>
  <c r="H26" i="201" s="1"/>
  <c r="E55" i="201"/>
  <c r="H55" i="201" s="1"/>
  <c r="E47" i="201"/>
  <c r="H47" i="201" s="1"/>
  <c r="E39" i="201"/>
  <c r="H39" i="201" s="1"/>
  <c r="E31" i="201"/>
  <c r="H31" i="201" s="1"/>
  <c r="E23" i="201"/>
  <c r="H23" i="201" s="1"/>
  <c r="E28" i="201"/>
  <c r="H28" i="201" s="1"/>
  <c r="E18" i="201"/>
  <c r="H18" i="201" s="1"/>
  <c r="E40" i="201"/>
  <c r="H40" i="201" s="1"/>
  <c r="E20" i="201"/>
  <c r="E48" i="201"/>
  <c r="H48" i="201" s="1"/>
  <c r="E56" i="201"/>
  <c r="H56" i="201" s="1"/>
  <c r="E53" i="201"/>
  <c r="H53" i="201" s="1"/>
  <c r="E45" i="201"/>
  <c r="H45" i="201" s="1"/>
  <c r="E37" i="201"/>
  <c r="H37" i="201" s="1"/>
  <c r="E29" i="201"/>
  <c r="H29" i="201" s="1"/>
  <c r="E19" i="201"/>
  <c r="H19" i="201" s="1"/>
  <c r="E21" i="201"/>
  <c r="H21" i="201" s="1"/>
  <c r="E38" i="201"/>
  <c r="H38" i="201" s="1"/>
  <c r="E16" i="201"/>
  <c r="H16" i="201" s="1"/>
  <c r="E32" i="201"/>
  <c r="H32" i="201" s="1"/>
  <c r="H20" i="201"/>
  <c r="E42" i="201"/>
  <c r="H42" i="201" s="1"/>
  <c r="E50" i="201"/>
  <c r="H50" i="201" s="1"/>
  <c r="E34" i="201"/>
  <c r="H34" i="201" s="1"/>
  <c r="E10" i="201"/>
  <c r="H10" i="201" s="1"/>
  <c r="H12" i="201"/>
  <c r="H8" i="201"/>
  <c r="H58" i="201" l="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145" i="197"/>
  <c r="AD181" i="197"/>
  <c r="X237" i="197"/>
  <c r="U245" i="197"/>
  <c r="Q4" i="197"/>
  <c r="Q5" i="197"/>
  <c r="Q6" i="197"/>
  <c r="R6" i="197" s="1"/>
  <c r="Q7" i="197"/>
  <c r="R7" i="197" s="1"/>
  <c r="Q8" i="197"/>
  <c r="R8" i="197" s="1"/>
  <c r="Q9" i="197"/>
  <c r="Q10" i="197"/>
  <c r="Q11" i="197"/>
  <c r="R11" i="197" s="1"/>
  <c r="Q12" i="197"/>
  <c r="R12" i="197" s="1"/>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R60" i="197" s="1"/>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R76" i="197" s="1"/>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AC248" i="197" l="1"/>
  <c r="V244" i="197"/>
  <c r="AD236" i="197"/>
  <c r="AD228" i="197"/>
  <c r="V220" i="197"/>
  <c r="Y208" i="197"/>
  <c r="AD196" i="197"/>
  <c r="V188" i="197"/>
  <c r="T180" i="197"/>
  <c r="AB168" i="197"/>
  <c r="AB140" i="197"/>
  <c r="AE120" i="197"/>
  <c r="AA88" i="197"/>
  <c r="V240" i="197"/>
  <c r="T236" i="197"/>
  <c r="Y224" i="197"/>
  <c r="AD212" i="197"/>
  <c r="V204" i="197"/>
  <c r="Y192" i="197"/>
  <c r="T176" i="197"/>
  <c r="X160" i="197"/>
  <c r="X128" i="197"/>
  <c r="AB112" i="197"/>
  <c r="R140" i="197"/>
  <c r="AB244" i="197"/>
  <c r="Y232" i="197"/>
  <c r="AD220" i="197"/>
  <c r="V212" i="197"/>
  <c r="Y200" i="197"/>
  <c r="AD188" i="197"/>
  <c r="AE180" i="197"/>
  <c r="AB172" i="197"/>
  <c r="AA156" i="197"/>
  <c r="W144" i="197"/>
  <c r="AA124" i="197"/>
  <c r="T96" i="197"/>
  <c r="R124"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K4" i="197" l="1"/>
  <c r="AH155" i="197" s="1"/>
  <c r="AH246" i="197"/>
  <c r="AH108" i="197"/>
  <c r="AH60" i="197"/>
  <c r="AH18" i="197"/>
  <c r="AH168" i="197"/>
  <c r="AH7" i="197"/>
  <c r="AH117" i="197"/>
  <c r="AH148" i="197"/>
  <c r="AH179"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37" i="186"/>
  <c r="F35" i="186"/>
  <c r="F29" i="186"/>
  <c r="F28" i="186"/>
  <c r="E41" i="186"/>
  <c r="F38" i="186" s="1"/>
  <c r="F32" i="186" l="1"/>
  <c r="F39" i="186"/>
  <c r="F27" i="186"/>
  <c r="F33" i="186"/>
  <c r="F40" i="186"/>
  <c r="AH177" i="197"/>
  <c r="AH190" i="197"/>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H4" i="194"/>
  <c r="E256" i="194" s="1"/>
  <c r="H3" i="194"/>
  <c r="E204" i="194" s="1"/>
  <c r="E31" i="194"/>
  <c r="H12" i="194"/>
  <c r="E91" i="194" s="1"/>
  <c r="H2" i="194"/>
  <c r="E32" i="194" s="1"/>
  <c r="E225" i="194"/>
  <c r="E213" i="194"/>
  <c r="E12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173" i="194" l="1"/>
  <c r="E22" i="194"/>
  <c r="E193" i="194"/>
  <c r="E237" i="194"/>
  <c r="E47" i="194"/>
  <c r="E74" i="194"/>
  <c r="B83" i="188"/>
  <c r="E101" i="194"/>
  <c r="E209" i="194"/>
  <c r="E82" i="194"/>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I12" i="192" l="1"/>
  <c r="K26" i="199"/>
  <c r="E18" i="189" s="1"/>
  <c r="J28" i="199"/>
  <c r="J24" i="199"/>
  <c r="I26" i="199"/>
  <c r="C18" i="189" s="1"/>
  <c r="H29" i="199"/>
  <c r="H25" i="199"/>
  <c r="C26" i="199"/>
  <c r="D49" i="199"/>
  <c r="D5" i="190" s="1"/>
  <c r="D7" i="190" s="1"/>
  <c r="D25" i="199"/>
  <c r="D29" i="199"/>
  <c r="B25" i="199"/>
  <c r="B29" i="199"/>
  <c r="B49" i="199"/>
  <c r="B5" i="190" s="1"/>
  <c r="B7" i="190" s="1"/>
  <c r="C12" i="199"/>
  <c r="C10" i="199"/>
  <c r="C8" i="199"/>
  <c r="C6" i="199"/>
  <c r="C4" i="199"/>
  <c r="B12" i="199"/>
  <c r="H10" i="199"/>
  <c r="B10" i="199"/>
  <c r="H8" i="199"/>
  <c r="B8" i="199"/>
  <c r="H6" i="199"/>
  <c r="B6" i="199"/>
  <c r="H4" i="199"/>
  <c r="B4" i="199"/>
  <c r="K12" i="199"/>
  <c r="E12" i="199"/>
  <c r="K10" i="199"/>
  <c r="E10" i="199"/>
  <c r="K8" i="199"/>
  <c r="E8" i="199"/>
  <c r="K6" i="199"/>
  <c r="E6" i="199"/>
  <c r="K4" i="199"/>
  <c r="E4" i="199"/>
  <c r="J12" i="199"/>
  <c r="D12" i="199"/>
  <c r="J10" i="199"/>
  <c r="D10" i="199"/>
  <c r="J8" i="199"/>
  <c r="D8" i="199"/>
  <c r="J6" i="199"/>
  <c r="D6" i="199"/>
  <c r="J4" i="199"/>
  <c r="D4" i="199"/>
  <c r="K29" i="199" l="1"/>
  <c r="K30" i="199" s="1"/>
  <c r="K25" i="199"/>
  <c r="J27" i="199"/>
  <c r="I29" i="199"/>
  <c r="I25" i="199"/>
  <c r="C23" i="189" s="1"/>
  <c r="H28" i="199"/>
  <c r="H24" i="199"/>
  <c r="C27" i="199"/>
  <c r="E25" i="199"/>
  <c r="E30" i="199" s="1"/>
  <c r="D26" i="199"/>
  <c r="C49" i="199"/>
  <c r="C5" i="190" s="1"/>
  <c r="C7" i="190" s="1"/>
  <c r="B26" i="199"/>
  <c r="E49" i="199"/>
  <c r="E5" i="190" s="1"/>
  <c r="E7" i="190" s="1"/>
  <c r="I13" i="199"/>
  <c r="I11" i="199"/>
  <c r="I9" i="199"/>
  <c r="I7" i="199"/>
  <c r="C62" i="188" s="1"/>
  <c r="I5" i="199"/>
  <c r="C59" i="188" s="1"/>
  <c r="H13" i="199"/>
  <c r="H11" i="199"/>
  <c r="H9" i="199"/>
  <c r="B55" i="188" s="1"/>
  <c r="B56" i="188" s="1"/>
  <c r="H7" i="199"/>
  <c r="H5" i="199"/>
  <c r="B59" i="188" s="1"/>
  <c r="K13" i="199"/>
  <c r="K11" i="199"/>
  <c r="K9" i="199"/>
  <c r="K7" i="199"/>
  <c r="E62" i="188" s="1"/>
  <c r="K5" i="199"/>
  <c r="E59" i="188" s="1"/>
  <c r="J13" i="199"/>
  <c r="J11" i="199"/>
  <c r="J9" i="199"/>
  <c r="J7" i="199"/>
  <c r="J5" i="199"/>
  <c r="D59" i="188" s="1"/>
  <c r="K28" i="199"/>
  <c r="K24" i="199"/>
  <c r="J26" i="199"/>
  <c r="D18" i="189" s="1"/>
  <c r="I28" i="199"/>
  <c r="I24" i="199"/>
  <c r="H27" i="199"/>
  <c r="C24" i="199"/>
  <c r="C28" i="199"/>
  <c r="E29" i="199"/>
  <c r="D27" i="199"/>
  <c r="E26" i="199"/>
  <c r="B27" i="199"/>
  <c r="B30" i="199" s="1"/>
  <c r="E24" i="199"/>
  <c r="C13" i="199"/>
  <c r="C11" i="199"/>
  <c r="C9" i="199"/>
  <c r="C7" i="199"/>
  <c r="C5" i="199"/>
  <c r="C14" i="199" s="1"/>
  <c r="C24" i="188" s="1"/>
  <c r="B13" i="199"/>
  <c r="B11" i="199"/>
  <c r="B9" i="199"/>
  <c r="B7" i="199"/>
  <c r="B5" i="199"/>
  <c r="E13" i="199"/>
  <c r="E11" i="199"/>
  <c r="E9" i="199"/>
  <c r="E7" i="199"/>
  <c r="E25" i="188" s="1"/>
  <c r="E5" i="199"/>
  <c r="E14" i="199" s="1"/>
  <c r="E24" i="188" s="1"/>
  <c r="D13" i="199"/>
  <c r="D11" i="199"/>
  <c r="D9" i="199"/>
  <c r="D7" i="199"/>
  <c r="D25" i="188" s="1"/>
  <c r="D5" i="199"/>
  <c r="K27" i="199"/>
  <c r="J29" i="199"/>
  <c r="J25" i="199"/>
  <c r="D23" i="189" s="1"/>
  <c r="I27" i="199"/>
  <c r="B24" i="199"/>
  <c r="H26" i="199"/>
  <c r="B18" i="189" s="1"/>
  <c r="C25" i="199"/>
  <c r="C29" i="199"/>
  <c r="D24" i="199"/>
  <c r="D28" i="199"/>
  <c r="D30" i="199" s="1"/>
  <c r="E28" i="199"/>
  <c r="B28" i="199"/>
  <c r="E27" i="199"/>
  <c r="I12" i="199"/>
  <c r="I10" i="199"/>
  <c r="I8" i="199"/>
  <c r="I6" i="199"/>
  <c r="I4" i="199"/>
  <c r="I14" i="199" s="1"/>
  <c r="C26" i="188" s="1"/>
  <c r="H12" i="199"/>
  <c r="B65" i="188"/>
  <c r="C65" i="188"/>
  <c r="B25" i="188"/>
  <c r="C25" i="188"/>
  <c r="D62" i="188"/>
  <c r="D27" i="188"/>
  <c r="E27" i="188"/>
  <c r="I30" i="199"/>
  <c r="B62" i="188"/>
  <c r="B27" i="188"/>
  <c r="C27" i="188"/>
  <c r="E23" i="189"/>
  <c r="D55" i="188"/>
  <c r="D56" i="188" s="1"/>
  <c r="D65" i="188"/>
  <c r="E55" i="188"/>
  <c r="E56" i="188" s="1"/>
  <c r="E65" i="188"/>
  <c r="B23" i="189"/>
  <c r="H14" i="199"/>
  <c r="B26" i="188" s="1"/>
  <c r="H30" i="199"/>
  <c r="B14" i="199"/>
  <c r="B24" i="188" s="1"/>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D14" i="199" l="1"/>
  <c r="D24" i="188" s="1"/>
  <c r="K14" i="199"/>
  <c r="E26" i="188" s="1"/>
  <c r="C55" i="188"/>
  <c r="C56" i="188" s="1"/>
  <c r="J30" i="199"/>
  <c r="J14" i="199"/>
  <c r="D26" i="188" s="1"/>
  <c r="B24" i="189"/>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<sst xmlns="http://schemas.openxmlformats.org/spreadsheetml/2006/main" count="1627" uniqueCount="563">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</sst>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12">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0" fontId="0" fillId="7" borderId="12" xfId="0"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0" fillId="0" borderId="16"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8" borderId="0" xfId="0" applyFont="1" applyFill="1" applyAlignment="1">
      <alignment horizontal="left" vertical="center" wrapText="1"/>
    </xf>
    <xf numFmtId="0" fontId="6" fillId="0"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xf numFmtId="3" fontId="0" fillId="5" borderId="12" xfId="0" applyNumberFormat="1" applyFill="1" applyBorder="1"/>
    <xf numFmtId="0" fontId="0" fillId="5" borderId="12" xfId="0" applyFill="1" applyBorder="1"/>
    <xf numFmtId="1" fontId="0" fillId="5" borderId="12" xfId="0" applyNumberFormat="1" applyFill="1" applyBorder="1"/>
    <xf numFmtId="167" fontId="0" fillId="5" borderId="12" xfId="1" applyNumberFormat="1" applyFont="1" applyFill="1" applyBorder="1"/>
    <xf numFmtId="0" fontId="0" fillId="0" borderId="12" xfId="0" applyBorder="1"/>
    <xf numFmtId="164" fontId="0" fillId="5" borderId="12" xfId="2" applyNumberFormat="1" applyFont="1" applyFill="1" applyBorder="1"/>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file:///C:\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27" t="s">
        <v>25</v>
      </c>
      <c r="B2" s="228"/>
      <c r="C2" s="228"/>
      <c r="D2" s="228"/>
      <c r="E2" s="229"/>
      <c r="G2" s="227" t="s">
        <v>30</v>
      </c>
      <c r="H2" s="228"/>
      <c r="I2" s="228"/>
      <c r="J2" s="228"/>
      <c r="K2" s="229"/>
      <c r="M2" s="227" t="s">
        <v>31</v>
      </c>
      <c r="N2" s="228"/>
      <c r="O2" s="228"/>
      <c r="P2" s="228"/>
      <c r="Q2" s="229"/>
      <c r="R2" s="10"/>
      <c r="S2" s="227" t="s">
        <v>32</v>
      </c>
      <c r="T2" s="228"/>
      <c r="U2" s="228"/>
      <c r="V2" s="228"/>
      <c r="W2" s="229"/>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27" t="s">
        <v>33</v>
      </c>
      <c r="B22" s="228"/>
      <c r="C22" s="228"/>
      <c r="D22" s="228"/>
      <c r="E22" s="229"/>
      <c r="G22" s="227" t="s">
        <v>34</v>
      </c>
      <c r="H22" s="228"/>
      <c r="I22" s="228"/>
      <c r="J22" s="228"/>
      <c r="K22" s="229"/>
      <c r="M22" s="231" t="s">
        <v>35</v>
      </c>
      <c r="N22" s="232"/>
      <c r="O22" s="232"/>
      <c r="P22" s="232"/>
      <c r="Q22" s="233"/>
      <c r="S22" s="227" t="s">
        <v>36</v>
      </c>
      <c r="T22" s="228"/>
      <c r="U22" s="228"/>
      <c r="V22" s="228"/>
      <c r="W22" s="229"/>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0" t="s">
        <v>42</v>
      </c>
      <c r="B48" s="17">
        <v>2015</v>
      </c>
      <c r="C48" s="17">
        <v>2025</v>
      </c>
      <c r="D48" s="17">
        <v>2035</v>
      </c>
      <c r="E48" s="17">
        <v>2050</v>
      </c>
    </row>
    <row r="49" spans="1:5" ht="74.25" customHeight="1" x14ac:dyDescent="0.25">
      <c r="A49" s="230"/>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27" t="s">
        <v>25</v>
      </c>
      <c r="B2" s="228"/>
      <c r="C2" s="228"/>
      <c r="D2" s="228"/>
      <c r="E2" s="229"/>
      <c r="G2" s="227" t="s">
        <v>30</v>
      </c>
      <c r="H2" s="228"/>
      <c r="I2" s="228"/>
      <c r="J2" s="228"/>
      <c r="K2" s="229"/>
      <c r="M2" s="227" t="s">
        <v>31</v>
      </c>
      <c r="N2" s="228"/>
      <c r="O2" s="228"/>
      <c r="P2" s="228"/>
      <c r="Q2" s="229"/>
      <c r="R2" s="10"/>
      <c r="S2" s="227" t="s">
        <v>32</v>
      </c>
      <c r="T2" s="228"/>
      <c r="U2" s="228"/>
      <c r="V2" s="228"/>
      <c r="W2" s="229"/>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0.22627315369165876</v>
      </c>
      <c r="I4" s="4">
        <f>res_share_state_target*'LEAP Statewide'!I4</f>
        <v>1.3681632548797971</v>
      </c>
      <c r="J4" s="4">
        <f>res_share_state_target*'LEAP Statewide'!J4</f>
        <v>2.5810926019943867</v>
      </c>
      <c r="K4" s="5">
        <f>res_share_state_target*'LEAP Statewide'!K4</f>
        <v>4.7517362275248338</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4.1296587951412701E-2</v>
      </c>
      <c r="U4" s="4">
        <f ca="1">com_share_state_target*'LEAP Statewide'!U4</f>
        <v>0.25820390913310465</v>
      </c>
      <c r="V4" s="4">
        <f ca="1">com_share_state_target*'LEAP Statewide'!V4</f>
        <v>0.48443303293489703</v>
      </c>
      <c r="W4" s="5">
        <f ca="1">com_share_state_target*'LEAP Statewide'!W4</f>
        <v>0.86141474964670084</v>
      </c>
      <c r="Y4" s="23"/>
    </row>
    <row r="5" spans="1:25" x14ac:dyDescent="0.25">
      <c r="A5" s="1" t="s">
        <v>3</v>
      </c>
      <c r="B5" s="4">
        <f>res_share_state_target*'LEAP Statewide'!B5</f>
        <v>19.940979439873043</v>
      </c>
      <c r="C5" s="4">
        <f>res_share_state_target*'LEAP Statewide'!C5</f>
        <v>18.370222779943738</v>
      </c>
      <c r="D5" s="4">
        <f>res_share_state_target*'LEAP Statewide'!D5</f>
        <v>17.094147436450083</v>
      </c>
      <c r="E5" s="5">
        <f>res_share_state_target*'LEAP Statewide'!E5</f>
        <v>15.481293445601397</v>
      </c>
      <c r="G5" s="1" t="s">
        <v>3</v>
      </c>
      <c r="H5" s="4">
        <f>res_share_state_target*'LEAP Statewide'!H5</f>
        <v>20.001494353069649</v>
      </c>
      <c r="I5" s="4">
        <f>res_share_state_target*'LEAP Statewide'!I5</f>
        <v>18.775409590042756</v>
      </c>
      <c r="J5" s="4">
        <f>res_share_state_target*'LEAP Statewide'!J5</f>
        <v>17.528276161556171</v>
      </c>
      <c r="K5" s="5">
        <f>res_share_state_target*'LEAP Statewide'!K5</f>
        <v>16.691591709533526</v>
      </c>
      <c r="L5" s="21"/>
      <c r="M5" s="1" t="s">
        <v>14</v>
      </c>
      <c r="N5" s="4">
        <f ca="1">com_share_state_target*'LEAP Statewide'!N5</f>
        <v>3.8830820806740971</v>
      </c>
      <c r="O5" s="4">
        <f ca="1">com_share_state_target*'LEAP Statewide'!O5</f>
        <v>3.137337871066062</v>
      </c>
      <c r="P5" s="4">
        <f ca="1">com_share_state_target*'LEAP Statewide'!P5</f>
        <v>2.2783287479019676</v>
      </c>
      <c r="Q5" s="5">
        <f ca="1">com_share_state_target*'LEAP Statewide'!Q5</f>
        <v>0.93017557327453848</v>
      </c>
      <c r="R5" s="2"/>
      <c r="S5" s="1" t="s">
        <v>14</v>
      </c>
      <c r="T5" s="4">
        <f ca="1">com_share_state_target*'LEAP Statewide'!T5</f>
        <v>3.8404824450446058</v>
      </c>
      <c r="U5" s="4">
        <f ca="1">com_share_state_target*'LEAP Statewide'!U5</f>
        <v>2.8726187235425646</v>
      </c>
      <c r="V5" s="4">
        <f ca="1">com_share_state_target*'LEAP Statewide'!V5</f>
        <v>1.7814666448069367</v>
      </c>
      <c r="W5" s="5">
        <f ca="1">com_share_state_target*'LEAP Statewide'!W5</f>
        <v>4.6508778663726921E-2</v>
      </c>
      <c r="Y5" s="92"/>
    </row>
    <row r="6" spans="1:25" x14ac:dyDescent="0.25">
      <c r="A6" s="1" t="s">
        <v>4</v>
      </c>
      <c r="B6" s="4">
        <f>res_share_state_target*'LEAP Statewide'!B6</f>
        <v>3.0257456598303207</v>
      </c>
      <c r="C6" s="4">
        <f>res_share_state_target*'LEAP Statewide'!C6</f>
        <v>2.4521695260537903</v>
      </c>
      <c r="D6" s="4">
        <f>res_share_state_target*'LEAP Statewide'!D6</f>
        <v>1.6707378208628292</v>
      </c>
      <c r="E6" s="5">
        <f>res_share_state_target*'LEAP Statewide'!E6</f>
        <v>0.66040187879774825</v>
      </c>
      <c r="G6" s="1" t="s">
        <v>4</v>
      </c>
      <c r="H6" s="4">
        <f>res_share_state_target*'LEAP Statewide'!H6</f>
        <v>3.0441632421075489</v>
      </c>
      <c r="I6" s="4">
        <f>res_share_state_target*'LEAP Statewide'!I6</f>
        <v>2.4995290233380909</v>
      </c>
      <c r="J6" s="4">
        <f>res_share_state_target*'LEAP Statewide'!J6</f>
        <v>1.454988999901015</v>
      </c>
      <c r="K6" s="5">
        <f>res_share_state_target*'LEAP Statewide'!K6</f>
        <v>0.47096388966054559</v>
      </c>
      <c r="L6" s="21"/>
      <c r="M6" s="1" t="s">
        <v>15</v>
      </c>
      <c r="N6" s="89">
        <f ca="1">com_share_state_target*'LEAP Statewide'!N6</f>
        <v>7.1346872096639711</v>
      </c>
      <c r="O6" s="89">
        <f ca="1">com_share_state_target*'LEAP Statewide'!O6</f>
        <v>7.2088606928776731</v>
      </c>
      <c r="P6" s="89">
        <f ca="1">com_share_state_target*'LEAP Statewide'!P6</f>
        <v>7.14170362023824</v>
      </c>
      <c r="Q6" s="90">
        <f ca="1">com_share_state_target*'LEAP Statewide'!Q6</f>
        <v>7.1747809843740802</v>
      </c>
      <c r="R6" s="4"/>
      <c r="S6" s="1" t="s">
        <v>15</v>
      </c>
      <c r="T6" s="89">
        <f ca="1">com_share_state_target*'LEAP Statewide'!T6</f>
        <v>7.1345869752271955</v>
      </c>
      <c r="U6" s="89">
        <f ca="1">com_share_state_target*'LEAP Statewide'!U6</f>
        <v>7.2085599895673473</v>
      </c>
      <c r="V6" s="89">
        <f ca="1">com_share_state_target*'LEAP Statewide'!V6</f>
        <v>7.1413026824911396</v>
      </c>
      <c r="W6" s="90">
        <f ca="1">com_share_state_target*'LEAP Statewide'!W6</f>
        <v>7.1751819221211814</v>
      </c>
      <c r="Y6" s="92"/>
    </row>
    <row r="7" spans="1:25" x14ac:dyDescent="0.25">
      <c r="A7" s="1" t="s">
        <v>5</v>
      </c>
      <c r="B7" s="4">
        <f>res_share_state_target*'LEAP Statewide'!B7</f>
        <v>0.3052056491654932</v>
      </c>
      <c r="C7" s="4">
        <f>res_share_state_target*'LEAP Statewide'!C7</f>
        <v>1.71809731814713</v>
      </c>
      <c r="D7" s="4">
        <f>res_share_state_target*'LEAP Statewide'!D7</f>
        <v>3.2388633976096735</v>
      </c>
      <c r="E7" s="5">
        <f>res_share_state_target*'LEAP Statewide'!E7</f>
        <v>4.4675792438190296</v>
      </c>
      <c r="G7" s="1" t="s">
        <v>5</v>
      </c>
      <c r="H7" s="4">
        <f>res_share_state_target*'LEAP Statewide'!H7</f>
        <v>0.53410988603961307</v>
      </c>
      <c r="I7" s="4">
        <f>res_share_state_target*'LEAP Statewide'!I7</f>
        <v>2.9915415784583259</v>
      </c>
      <c r="J7" s="4">
        <f>res_share_state_target*'LEAP Statewide'!J7</f>
        <v>5.777858668684682</v>
      </c>
      <c r="K7" s="5">
        <f>res_share_state_target*'LEAP Statewide'!K7</f>
        <v>7.9590266269449739</v>
      </c>
      <c r="M7" s="1" t="s">
        <v>8</v>
      </c>
      <c r="N7" s="4">
        <f ca="1">com_share_state_target*'LEAP Statewide'!N7</f>
        <v>2.9037916333796745</v>
      </c>
      <c r="O7" s="4">
        <f ca="1">com_share_state_target*'LEAP Statewide'!O7</f>
        <v>2.9819744940643877</v>
      </c>
      <c r="P7" s="4">
        <f ca="1">com_share_state_target*'LEAP Statewide'!P7</f>
        <v>3.0040260701549482</v>
      </c>
      <c r="Q7" s="5">
        <f ca="1">com_share_state_target*'LEAP Statewide'!Q7</f>
        <v>3.1012534738269633</v>
      </c>
      <c r="R7" s="4"/>
      <c r="S7" s="1" t="s">
        <v>8</v>
      </c>
      <c r="T7" s="4">
        <f ca="1">com_share_state_target*'LEAP Statewide'!T7</f>
        <v>2.8216996296607255</v>
      </c>
      <c r="U7" s="4">
        <f ca="1">com_share_state_target*'LEAP Statewide'!U7</f>
        <v>2.4654664413614031</v>
      </c>
      <c r="V7" s="4">
        <f ca="1">com_share_state_target*'LEAP Statewide'!V7</f>
        <v>2.0353604731587045</v>
      </c>
      <c r="W7" s="5">
        <f ca="1">com_share_state_target*'LEAP Statewide'!W7</f>
        <v>1.3782235056600112</v>
      </c>
      <c r="Y7" s="92"/>
    </row>
    <row r="8" spans="1:25" x14ac:dyDescent="0.25">
      <c r="A8" s="1" t="s">
        <v>6</v>
      </c>
      <c r="B8" s="4">
        <f>res_share_state_target*'LEAP Statewide'!B8</f>
        <v>3.4204081371994932E-2</v>
      </c>
      <c r="C8" s="4">
        <f>res_share_state_target*'LEAP Statewide'!C8</f>
        <v>0.25258398551627026</v>
      </c>
      <c r="D8" s="4">
        <f>res_share_state_target*'LEAP Statewide'!D8</f>
        <v>0.86036420066479558</v>
      </c>
      <c r="E8" s="5">
        <f>res_share_state_target*'LEAP Statewide'!E8</f>
        <v>1.7865054808911198</v>
      </c>
      <c r="G8" s="1" t="s">
        <v>6</v>
      </c>
      <c r="H8" s="4">
        <f>res_share_state_target*'LEAP Statewide'!H8</f>
        <v>0.1473406582178243</v>
      </c>
      <c r="I8" s="4">
        <f>res_share_state_target*'LEAP Statewide'!I8</f>
        <v>0.91561694749647959</v>
      </c>
      <c r="J8" s="4">
        <f>res_share_state_target*'LEAP Statewide'!J8</f>
        <v>1.9917299691230894</v>
      </c>
      <c r="K8" s="5">
        <f>res_share_state_target*'LEAP Statewide'!K8</f>
        <v>3.3046404771712026</v>
      </c>
      <c r="M8" s="1" t="s">
        <v>9</v>
      </c>
      <c r="N8" s="4">
        <f ca="1">com_share_state_target*'LEAP Statewide'!N8</f>
        <v>2.7975431303978846</v>
      </c>
      <c r="O8" s="4">
        <f ca="1">com_share_state_target*'LEAP Statewide'!O8</f>
        <v>3.397947406681773</v>
      </c>
      <c r="P8" s="4">
        <f ca="1">com_share_state_target*'LEAP Statewide'!P8</f>
        <v>3.9702860406685851</v>
      </c>
      <c r="Q8" s="5">
        <f ca="1">com_share_state_target*'LEAP Statewide'!Q8</f>
        <v>4.9786444746278367</v>
      </c>
      <c r="R8" s="4"/>
      <c r="S8" s="1" t="s">
        <v>9</v>
      </c>
      <c r="T8" s="4">
        <f ca="1">com_share_state_target*'LEAP Statewide'!T8</f>
        <v>2.5939669893073041</v>
      </c>
      <c r="U8" s="4">
        <f ca="1">com_share_state_target*'LEAP Statewide'!U8</f>
        <v>2.1252707629461249</v>
      </c>
      <c r="V8" s="4">
        <f ca="1">com_share_state_target*'LEAP Statewide'!V8</f>
        <v>1.5820001156241423</v>
      </c>
      <c r="W8" s="5">
        <f ca="1">com_share_state_target*'LEAP Statewide'!W8</f>
        <v>0.73211232620659794</v>
      </c>
      <c r="Y8" s="23"/>
    </row>
    <row r="9" spans="1:25" x14ac:dyDescent="0.25">
      <c r="A9" s="1" t="s">
        <v>7</v>
      </c>
      <c r="B9" s="4">
        <f>res_share_state_target*'LEAP Statewide'!B9</f>
        <v>2.5600439365346972</v>
      </c>
      <c r="C9" s="4">
        <f>res_share_state_target*'LEAP Statewide'!C9</f>
        <v>2.0548759655021569</v>
      </c>
      <c r="D9" s="4">
        <f>res_share_state_target*'LEAP Statewide'!D9</f>
        <v>1.5681255767468445</v>
      </c>
      <c r="E9" s="5">
        <f>res_share_state_target*'LEAP Statewide'!E9</f>
        <v>0.77616953882603879</v>
      </c>
      <c r="G9" s="1" t="s">
        <v>7</v>
      </c>
      <c r="H9" s="4">
        <f>res_share_state_target*'LEAP Statewide'!H9</f>
        <v>2.5126844392503966</v>
      </c>
      <c r="I9" s="4">
        <f>res_share_state_target*'LEAP Statewide'!I9</f>
        <v>1.8101852295332701</v>
      </c>
      <c r="J9" s="4">
        <f>res_share_state_target*'LEAP Statewide'!J9</f>
        <v>1.1234725189109103</v>
      </c>
      <c r="K9" s="5">
        <f>res_share_state_target*'LEAP Statewide'!K9</f>
        <v>0</v>
      </c>
      <c r="L9" s="21"/>
      <c r="M9" s="1" t="s">
        <v>16</v>
      </c>
      <c r="N9" s="4">
        <f ca="1">com_share_state_target*'LEAP Statewide'!N9</f>
        <v>0.39392133652682504</v>
      </c>
      <c r="O9" s="4">
        <f ca="1">com_share_state_target*'LEAP Statewide'!O9</f>
        <v>0.29368689975155149</v>
      </c>
      <c r="P9" s="4">
        <f ca="1">com_share_state_target*'LEAP Statewide'!P9</f>
        <v>0.18042198619549238</v>
      </c>
      <c r="Q9" s="5">
        <f ca="1">com_share_state_target*'LEAP Statewide'!Q9</f>
        <v>0</v>
      </c>
      <c r="R9" s="2"/>
      <c r="S9" s="1" t="s">
        <v>16</v>
      </c>
      <c r="T9" s="4">
        <f ca="1">com_share_state_target*'LEAP Statewide'!T9</f>
        <v>0.3936206332164992</v>
      </c>
      <c r="U9" s="4">
        <f ca="1">com_share_state_target*'LEAP Statewide'!U9</f>
        <v>0.29318572756767514</v>
      </c>
      <c r="V9" s="4">
        <f ca="1">com_share_state_target*'LEAP Statewide'!V9</f>
        <v>0.18002104844839129</v>
      </c>
      <c r="W9" s="5">
        <f ca="1">com_share_state_target*'LEAP Statewide'!W9</f>
        <v>0</v>
      </c>
      <c r="Y9" s="23"/>
    </row>
    <row r="10" spans="1:25" x14ac:dyDescent="0.25">
      <c r="A10" s="1" t="s">
        <v>8</v>
      </c>
      <c r="B10" s="4">
        <f>res_share_state_target*'LEAP Statewide'!B10</f>
        <v>14.768269903154426</v>
      </c>
      <c r="C10" s="4">
        <f>res_share_state_target*'LEAP Statewide'!C10</f>
        <v>11.831981071527784</v>
      </c>
      <c r="D10" s="4">
        <f>res_share_state_target*'LEAP Statewide'!D10</f>
        <v>8.740458332135935</v>
      </c>
      <c r="E10" s="5">
        <f>res_share_state_target*'LEAP Statewide'!E10</f>
        <v>3.1546687357709171</v>
      </c>
      <c r="G10" s="1" t="s">
        <v>8</v>
      </c>
      <c r="H10" s="4">
        <f>res_share_state_target*'LEAP Statewide'!H10</f>
        <v>14.59461841311199</v>
      </c>
      <c r="I10" s="4">
        <f>res_share_state_target*'LEAP Statewide'!I10</f>
        <v>11.150530527270346</v>
      </c>
      <c r="J10" s="4">
        <f>res_share_state_target*'LEAP Statewide'!J10</f>
        <v>7.803792719179766</v>
      </c>
      <c r="K10" s="5">
        <f>res_share_state_target*'LEAP Statewide'!K10</f>
        <v>2.6337142656436097</v>
      </c>
      <c r="L10" s="21"/>
      <c r="M10" s="1" t="s">
        <v>17</v>
      </c>
      <c r="N10" s="4">
        <f ca="1">com_share_state_target*'LEAP Statewide'!N10</f>
        <v>1.2539328040586721</v>
      </c>
      <c r="O10" s="4">
        <f ca="1">com_share_state_target*'LEAP Statewide'!O10</f>
        <v>1.3341203534788908</v>
      </c>
      <c r="P10" s="4">
        <f ca="1">com_share_state_target*'LEAP Statewide'!P10</f>
        <v>1.3932586711763022</v>
      </c>
      <c r="Q10" s="5">
        <f ca="1">com_share_state_target*'LEAP Statewide'!Q10</f>
        <v>1.515544684042136</v>
      </c>
      <c r="R10" s="4"/>
      <c r="S10" s="1" t="s">
        <v>17</v>
      </c>
      <c r="T10" s="4">
        <f ca="1">com_share_state_target*'LEAP Statewide'!T10</f>
        <v>1.3461484858919237</v>
      </c>
      <c r="U10" s="4">
        <f ca="1">com_share_state_target*'LEAP Statewide'!U10</f>
        <v>1.9124730536722192</v>
      </c>
      <c r="V10" s="4">
        <f ca="1">com_share_state_target*'LEAP Statewide'!V10</f>
        <v>2.4779957459583124</v>
      </c>
      <c r="W10" s="5">
        <f ca="1">com_share_state_target*'LEAP Statewide'!W10</f>
        <v>3.4454585297132527</v>
      </c>
      <c r="Y10" s="23"/>
    </row>
    <row r="11" spans="1:25" x14ac:dyDescent="0.25">
      <c r="A11" s="1" t="s">
        <v>9</v>
      </c>
      <c r="B11" s="4">
        <f>res_share_state_target*'LEAP Statewide'!B11</f>
        <v>12.750229102206726</v>
      </c>
      <c r="C11" s="4">
        <f>res_share_state_target*'LEAP Statewide'!C11</f>
        <v>16.549513217680623</v>
      </c>
      <c r="D11" s="4">
        <f>res_share_state_target*'LEAP Statewide'!D11</f>
        <v>21.269676447015925</v>
      </c>
      <c r="E11" s="5">
        <f>res_share_state_target*'LEAP Statewide'!E11</f>
        <v>31.152024880339997</v>
      </c>
      <c r="G11" s="1" t="s">
        <v>9</v>
      </c>
      <c r="H11" s="4">
        <f>res_share_state_target*'LEAP Statewide'!H11</f>
        <v>11.610970084201048</v>
      </c>
      <c r="I11" s="4">
        <f>res_share_state_target*'LEAP Statewide'!I11</f>
        <v>9.235101970438631</v>
      </c>
      <c r="J11" s="4">
        <f>res_share_state_target*'LEAP Statewide'!J11</f>
        <v>5.1490297880764677</v>
      </c>
      <c r="K11" s="5">
        <f>res_share_state_target*'LEAP Statewide'!K11</f>
        <v>0.63935321333805906</v>
      </c>
      <c r="L11" s="21"/>
      <c r="M11" s="7" t="s">
        <v>12</v>
      </c>
      <c r="N11" s="8">
        <f ca="1">SUM(N4:N10)</f>
        <v>18.366958194701123</v>
      </c>
      <c r="O11" s="8">
        <f ca="1">SUM(O4:O10)</f>
        <v>18.353927717920339</v>
      </c>
      <c r="P11" s="8">
        <f ca="1">SUM(P4:P10)</f>
        <v>17.968025136335537</v>
      </c>
      <c r="Q11" s="9">
        <f ca="1">SUM(Q4:Q10)</f>
        <v>17.700399190145557</v>
      </c>
      <c r="R11" s="4"/>
      <c r="S11" s="7" t="s">
        <v>12</v>
      </c>
      <c r="T11" s="8">
        <f ca="1">SUM(T4:T10)</f>
        <v>18.171801746299668</v>
      </c>
      <c r="U11" s="8">
        <f ca="1">SUM(U4:U10)</f>
        <v>17.135778607790439</v>
      </c>
      <c r="V11" s="8">
        <f ca="1">SUM(V4:V10)</f>
        <v>15.682579743422524</v>
      </c>
      <c r="W11" s="9">
        <f ca="1">SUM(W4:W10)</f>
        <v>13.638899812011474</v>
      </c>
    </row>
    <row r="12" spans="1:25" x14ac:dyDescent="0.25">
      <c r="A12" s="1" t="s">
        <v>10</v>
      </c>
      <c r="B12" s="4">
        <f>res_share_state_target*'LEAP Statewide'!B12</f>
        <v>27.308012350764258</v>
      </c>
      <c r="C12" s="4">
        <f>res_share_state_target*'LEAP Statewide'!C12</f>
        <v>21.453852269788204</v>
      </c>
      <c r="D12" s="4">
        <f>res_share_state_target*'LEAP Statewide'!D12</f>
        <v>14.142072105728673</v>
      </c>
      <c r="E12" s="5">
        <f>res_share_state_target*'LEAP Statewide'!E12</f>
        <v>3.7861286995615924</v>
      </c>
      <c r="G12" s="1" t="s">
        <v>10</v>
      </c>
      <c r="H12" s="4">
        <f>res_share_state_target*'LEAP Statewide'!H12</f>
        <v>26.773902464724646</v>
      </c>
      <c r="I12" s="4">
        <f>res_share_state_target*'LEAP Statewide'!I12</f>
        <v>19.185858566506695</v>
      </c>
      <c r="J12" s="4">
        <f>res_share_state_target*'LEAP Statewide'!J12</f>
        <v>11.824087821980401</v>
      </c>
      <c r="K12" s="5">
        <f>res_share_state_target*'LEAP Statewide'!K12</f>
        <v>0</v>
      </c>
      <c r="L12" s="21"/>
    </row>
    <row r="13" spans="1:25" x14ac:dyDescent="0.25">
      <c r="A13" s="1" t="s">
        <v>11</v>
      </c>
      <c r="B13" s="4">
        <f>res_share_state_target*'LEAP Statewide'!B13</f>
        <v>1.6944175695049795</v>
      </c>
      <c r="C13" s="4">
        <f>res_share_state_target*'LEAP Statewide'!C13</f>
        <v>2.2443139546393596</v>
      </c>
      <c r="D13" s="4">
        <f>res_share_state_target*'LEAP Statewide'!D13</f>
        <v>2.7705305911315894</v>
      </c>
      <c r="E13" s="5">
        <f>res_share_state_target*'LEAP Statewide'!E13</f>
        <v>3.583535294512084</v>
      </c>
      <c r="G13" s="1" t="s">
        <v>11</v>
      </c>
      <c r="H13" s="4">
        <f>res_share_state_target*'LEAP Statewide'!H13</f>
        <v>1.949632638203711</v>
      </c>
      <c r="I13" s="4">
        <f>res_share_state_target*'LEAP Statewide'!I13</f>
        <v>3.5677487954173173</v>
      </c>
      <c r="J13" s="4">
        <f>res_share_state_target*'LEAP Statewide'!J13</f>
        <v>4.8069889743565177</v>
      </c>
      <c r="K13" s="5">
        <f>res_share_state_target*'LEAP Statewide'!K13</f>
        <v>5.9830831569166518</v>
      </c>
      <c r="L13" s="21"/>
      <c r="N13" s="21"/>
      <c r="O13" s="21"/>
      <c r="P13" s="21"/>
      <c r="Q13" s="21"/>
      <c r="T13" s="21"/>
      <c r="U13" s="21"/>
      <c r="V13" s="21"/>
      <c r="W13" s="21"/>
    </row>
    <row r="14" spans="1:25" x14ac:dyDescent="0.25">
      <c r="A14" s="7" t="s">
        <v>12</v>
      </c>
      <c r="B14" s="8">
        <f>SUM(B4:B13)</f>
        <v>82.387107692405934</v>
      </c>
      <c r="C14" s="8">
        <f>SUM(C4:C13)</f>
        <v>76.927610088799042</v>
      </c>
      <c r="D14" s="8">
        <f>SUM(D4:D13)</f>
        <v>71.354975908346347</v>
      </c>
      <c r="E14" s="9">
        <f>SUM(E4:E13)</f>
        <v>64.848307198119926</v>
      </c>
      <c r="G14" s="7" t="s">
        <v>12</v>
      </c>
      <c r="H14" s="8">
        <f>SUM(H4:H13)</f>
        <v>81.395189332618088</v>
      </c>
      <c r="I14" s="8">
        <f>SUM(I4:I13)</f>
        <v>71.499685483381711</v>
      </c>
      <c r="J14" s="8">
        <f>SUM(J4:J13)</f>
        <v>60.041318223763412</v>
      </c>
      <c r="K14" s="9">
        <f>SUM(K4:K13)</f>
        <v>42.434109566733405</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7" t="s">
        <v>472</v>
      </c>
      <c r="B22" s="228"/>
      <c r="C22" s="228"/>
      <c r="D22" s="228"/>
      <c r="E22" s="229"/>
      <c r="G22" s="227" t="s">
        <v>473</v>
      </c>
      <c r="H22" s="228"/>
      <c r="I22" s="228"/>
      <c r="J22" s="228"/>
      <c r="K22" s="229"/>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73.670329108912156</v>
      </c>
      <c r="C24" s="4">
        <f>res_share_state_target*'LEAP Statewide'!C24*1000</f>
        <v>60.514913196606415</v>
      </c>
      <c r="D24" s="4">
        <f>res_share_state_target*'LEAP Statewide'!D24*1000</f>
        <v>52.621663649222967</v>
      </c>
      <c r="E24" s="5">
        <f>res_share_state_target*'LEAP Statewide'!E24*1000</f>
        <v>44.728414101839526</v>
      </c>
      <c r="G24" s="1" t="s">
        <v>21</v>
      </c>
      <c r="H24" s="4">
        <f>res_share_state_target*'LEAP Statewide'!H24*1000</f>
        <v>73.670329108912156</v>
      </c>
      <c r="I24" s="4">
        <f>res_share_state_target*'LEAP Statewide'!I24*1000</f>
        <v>60.514913196606415</v>
      </c>
      <c r="J24" s="4">
        <f>res_share_state_target*'LEAP Statewide'!J24*1000</f>
        <v>28.941915007072634</v>
      </c>
      <c r="K24" s="5">
        <f>res_share_state_target*'LEAP Statewide'!K24*1000</f>
        <v>2.6310831824611483</v>
      </c>
    </row>
    <row r="25" spans="1:16" x14ac:dyDescent="0.25">
      <c r="A25" s="1" t="s">
        <v>22</v>
      </c>
      <c r="B25" s="4">
        <f>res_share_state_target*'LEAP Statewide'!B25*1000</f>
        <v>10.524332729844593</v>
      </c>
      <c r="C25" s="4">
        <f>res_share_state_target*'LEAP Statewide'!C25*1000</f>
        <v>7.8932495473834452</v>
      </c>
      <c r="D25" s="4">
        <f>res_share_state_target*'LEAP Statewide'!D25*1000</f>
        <v>7.8932495473834452</v>
      </c>
      <c r="E25" s="5">
        <f>res_share_state_target*'LEAP Statewide'!E25*1000</f>
        <v>5.2621663649222965</v>
      </c>
      <c r="G25" s="1" t="s">
        <v>22</v>
      </c>
      <c r="H25" s="4">
        <f>res_share_state_target*'LEAP Statewide'!H25*1000</f>
        <v>10.524332729844593</v>
      </c>
      <c r="I25" s="4">
        <f>res_share_state_target*'LEAP Statewide'!I25*1000</f>
        <v>7.8932495473834452</v>
      </c>
      <c r="J25" s="4">
        <f>res_share_state_target*'LEAP Statewide'!J25*1000</f>
        <v>2.6310831824611483</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5.2621663649222965</v>
      </c>
      <c r="K26" s="5">
        <f>res_share_state_target*'LEAP Statewide'!K26*1000</f>
        <v>13.155415912305742</v>
      </c>
    </row>
    <row r="27" spans="1:16" x14ac:dyDescent="0.25">
      <c r="A27" s="1" t="s">
        <v>20</v>
      </c>
      <c r="B27" s="4">
        <f>res_share_state_target*'LEAP Statewide'!B27*1000</f>
        <v>2.6310831824611483</v>
      </c>
      <c r="C27" s="4">
        <f>res_share_state_target*'LEAP Statewide'!C27*1000</f>
        <v>2.6310831824611483</v>
      </c>
      <c r="D27" s="4">
        <f>res_share_state_target*'LEAP Statewide'!D27*1000</f>
        <v>2.6310831824611483</v>
      </c>
      <c r="E27" s="5">
        <f>res_share_state_target*'LEAP Statewide'!E27*1000</f>
        <v>2.6310831824611483</v>
      </c>
      <c r="G27" s="1" t="s">
        <v>20</v>
      </c>
      <c r="H27" s="4">
        <f>res_share_state_target*'LEAP Statewide'!H27*1000</f>
        <v>2.6310831824611483</v>
      </c>
      <c r="I27" s="4">
        <f>res_share_state_target*'LEAP Statewide'!I27*1000</f>
        <v>2.6310831824611483</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2.6310831824611483</v>
      </c>
      <c r="K28" s="5">
        <f>res_share_state_target*'LEAP Statewide'!K28*1000</f>
        <v>2.6310831824611483</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86.825745021217898</v>
      </c>
      <c r="C30" s="8">
        <f>SUM(C24:C29)</f>
        <v>71.039245926451017</v>
      </c>
      <c r="D30" s="8">
        <f>SUM(D24:D29)</f>
        <v>63.145996379067562</v>
      </c>
      <c r="E30" s="9">
        <f>SUM(E24:E29)</f>
        <v>52.621663649222967</v>
      </c>
      <c r="G30" s="7" t="s">
        <v>12</v>
      </c>
      <c r="H30" s="8">
        <f>SUM(H24:H29)</f>
        <v>86.825745021217898</v>
      </c>
      <c r="I30" s="8">
        <f>SUM(I24:I29)</f>
        <v>71.039245926451017</v>
      </c>
      <c r="J30" s="8">
        <f>SUM(J24:J29)</f>
        <v>39.466247736917225</v>
      </c>
      <c r="K30" s="9">
        <f>SUM(K24:K29)</f>
        <v>18.417582277228039</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0" t="s">
        <v>184</v>
      </c>
      <c r="B48" s="17">
        <v>2015</v>
      </c>
      <c r="C48" s="17">
        <v>2025</v>
      </c>
      <c r="D48" s="17">
        <v>2035</v>
      </c>
      <c r="E48" s="17">
        <v>2050</v>
      </c>
    </row>
    <row r="49" spans="1:5" ht="89.25" customHeight="1" x14ac:dyDescent="0.25">
      <c r="A49" s="230"/>
      <c r="B49" s="20">
        <f>res_share_state_target*'LEAP Statewide'!B49</f>
        <v>0.27100156779349827</v>
      </c>
      <c r="C49" s="20">
        <f>res_share_state_target*'LEAP Statewide'!C49</f>
        <v>1.2971240089533462</v>
      </c>
      <c r="D49" s="20">
        <f>res_share_state_target*'LEAP Statewide'!D49</f>
        <v>2.2495761210042819</v>
      </c>
      <c r="E49" s="20">
        <f>res_share_state_target*'LEAP Statewide'!E49</f>
        <v>3.7098272872702194</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27" t="s">
        <v>25</v>
      </c>
      <c r="B2" s="228"/>
      <c r="C2" s="228"/>
      <c r="D2" s="228"/>
      <c r="E2" s="229"/>
      <c r="G2" s="227" t="s">
        <v>30</v>
      </c>
      <c r="H2" s="228"/>
      <c r="I2" s="228"/>
      <c r="J2" s="228"/>
      <c r="K2" s="229"/>
      <c r="M2" s="227" t="s">
        <v>31</v>
      </c>
      <c r="N2" s="228"/>
      <c r="O2" s="228"/>
      <c r="P2" s="228"/>
      <c r="Q2" s="229"/>
      <c r="R2" s="10"/>
      <c r="S2" s="227" t="s">
        <v>32</v>
      </c>
      <c r="T2" s="228"/>
      <c r="U2" s="228"/>
      <c r="V2" s="228"/>
      <c r="W2" s="229"/>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0.35770542635658914</v>
      </c>
      <c r="I4" s="4">
        <f>res_share_region_target*'LEAP Scenario'!I4</f>
        <v>1.2775193798449613</v>
      </c>
      <c r="J4" s="4">
        <f>res_share_region_target*'LEAP Scenario'!J4</f>
        <v>2.0951317829457365</v>
      </c>
      <c r="K4" s="5">
        <f>res_share_region_target*'LEAP Scenario'!K4</f>
        <v>3.2448992248062014</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9.8697738176833458E-2</v>
      </c>
      <c r="U4" s="4">
        <f>com_share_region_target*'LEAP Scenario'!U4</f>
        <v>0.60452364633310496</v>
      </c>
      <c r="V4" s="4">
        <f>com_share_region_target*'LEAP Scenario'!V4</f>
        <v>1.1350239890335847</v>
      </c>
      <c r="W4" s="5">
        <f>com_share_region_target*'LEAP Scenario'!W4</f>
        <v>2.0233036326250859</v>
      </c>
      <c r="Y4" s="23"/>
    </row>
    <row r="5" spans="1:25" x14ac:dyDescent="0.25">
      <c r="A5" s="1" t="s">
        <v>3</v>
      </c>
      <c r="B5" s="4">
        <f>res_share_region_target*'LEAP Scenario'!B5</f>
        <v>48.290232558139536</v>
      </c>
      <c r="C5" s="4">
        <f>res_share_region_target*'LEAP Scenario'!C5</f>
        <v>40.063007751937988</v>
      </c>
      <c r="D5" s="4">
        <f>res_share_region_target*'LEAP Scenario'!D5</f>
        <v>33.241054263565893</v>
      </c>
      <c r="E5" s="5">
        <f>res_share_region_target*'LEAP Scenario'!E5</f>
        <v>25.320434108527131</v>
      </c>
      <c r="G5" s="1" t="s">
        <v>3</v>
      </c>
      <c r="H5" s="4">
        <f>res_share_region_target*'LEAP Scenario'!H5</f>
        <v>47.498170542635663</v>
      </c>
      <c r="I5" s="4">
        <f>res_share_region_target*'LEAP Scenario'!I5</f>
        <v>37.559069767441862</v>
      </c>
      <c r="J5" s="4">
        <f>res_share_region_target*'LEAP Scenario'!J5</f>
        <v>28.820837209302326</v>
      </c>
      <c r="K5" s="5">
        <f>res_share_region_target*'LEAP Scenario'!K5</f>
        <v>19.162790697674421</v>
      </c>
      <c r="L5" s="21"/>
      <c r="M5" s="1" t="s">
        <v>14</v>
      </c>
      <c r="N5" s="4">
        <f>com_share_region_target*'LEAP Scenario'!N5</f>
        <v>5.095270733379027</v>
      </c>
      <c r="O5" s="4">
        <f>com_share_region_target*'LEAP Scenario'!O5</f>
        <v>4.1823166552433175</v>
      </c>
      <c r="P5" s="4">
        <f>com_share_region_target*'LEAP Scenario'!P5</f>
        <v>3.121315969842358</v>
      </c>
      <c r="Q5" s="5">
        <f>com_share_region_target*'LEAP Scenario'!Q5</f>
        <v>1.4557916381082936</v>
      </c>
      <c r="R5" s="2"/>
      <c r="S5" s="1" t="s">
        <v>14</v>
      </c>
      <c r="T5" s="4">
        <f>com_share_region_target*'LEAP Scenario'!T5</f>
        <v>5.0335846470185066</v>
      </c>
      <c r="U5" s="4">
        <f>com_share_region_target*'LEAP Scenario'!U5</f>
        <v>3.7505140507196715</v>
      </c>
      <c r="V5" s="4">
        <f>com_share_region_target*'LEAP Scenario'!V5</f>
        <v>2.307059629883482</v>
      </c>
      <c r="W5" s="5">
        <f>com_share_region_target*'LEAP Scenario'!W5</f>
        <v>1.2337217272104182E-2</v>
      </c>
      <c r="Y5" s="92"/>
    </row>
    <row r="6" spans="1:25" x14ac:dyDescent="0.25">
      <c r="A6" s="1" t="s">
        <v>4</v>
      </c>
      <c r="B6" s="4">
        <f>res_share_region_target*'LEAP Scenario'!B6</f>
        <v>4.8801240310077523</v>
      </c>
      <c r="C6" s="4">
        <f>res_share_region_target*'LEAP Scenario'!C6</f>
        <v>3.6281550387596901</v>
      </c>
      <c r="D6" s="4">
        <f>res_share_region_target*'LEAP Scenario'!D6</f>
        <v>2.0951317829457365</v>
      </c>
      <c r="E6" s="5">
        <f>res_share_region_target*'LEAP Scenario'!E6</f>
        <v>0.61320930232558135</v>
      </c>
      <c r="G6" s="1" t="s">
        <v>4</v>
      </c>
      <c r="H6" s="4">
        <f>res_share_region_target*'LEAP Scenario'!H6</f>
        <v>5.2889302325581395</v>
      </c>
      <c r="I6" s="4">
        <f>res_share_region_target*'LEAP Scenario'!I6</f>
        <v>4.7779224806201555</v>
      </c>
      <c r="J6" s="4">
        <f>res_share_region_target*'LEAP Scenario'!J6</f>
        <v>2.6061395348837211</v>
      </c>
      <c r="K6" s="5">
        <f>res_share_region_target*'LEAP Scenario'!K6</f>
        <v>0.792062015503876</v>
      </c>
      <c r="L6" s="21"/>
      <c r="M6" s="1" t="s">
        <v>15</v>
      </c>
      <c r="N6" s="89">
        <f>com_share_region_target*'LEAP Scenario'!N6</f>
        <v>9.3022618231665533</v>
      </c>
      <c r="O6" s="89">
        <f>com_share_region_target*'LEAP Scenario'!O6</f>
        <v>9.894448252227555</v>
      </c>
      <c r="P6" s="89">
        <f>com_share_region_target*'LEAP Scenario'!P6</f>
        <v>10.3262508567512</v>
      </c>
      <c r="Q6" s="90">
        <f>com_share_region_target*'LEAP Scenario'!Q6</f>
        <v>11.23920493488691</v>
      </c>
      <c r="R6" s="4"/>
      <c r="S6" s="1" t="s">
        <v>15</v>
      </c>
      <c r="T6" s="89">
        <f>com_share_region_target*'LEAP Scenario'!T6</f>
        <v>9.1788896504455124</v>
      </c>
      <c r="U6" s="89">
        <f>com_share_region_target*'LEAP Scenario'!U6</f>
        <v>9.0925291295407824</v>
      </c>
      <c r="V6" s="89">
        <f>com_share_region_target*'LEAP Scenario'!V6</f>
        <v>8.8087731322823863</v>
      </c>
      <c r="W6" s="90">
        <f>com_share_region_target*'LEAP Scenario'!W6</f>
        <v>8.5373543522960933</v>
      </c>
      <c r="Y6" s="92"/>
    </row>
    <row r="7" spans="1:25" x14ac:dyDescent="0.25">
      <c r="A7" s="1" t="s">
        <v>5</v>
      </c>
      <c r="B7" s="4">
        <f>res_share_region_target*'LEAP Scenario'!B7</f>
        <v>0.66431007751937987</v>
      </c>
      <c r="C7" s="4">
        <f>res_share_region_target*'LEAP Scenario'!C7</f>
        <v>3.1426976744186046</v>
      </c>
      <c r="D7" s="4">
        <f>res_share_region_target*'LEAP Scenario'!D7</f>
        <v>4.8801240310077523</v>
      </c>
      <c r="E7" s="5">
        <f>res_share_region_target*'LEAP Scenario'!E7</f>
        <v>6.1320930232558144</v>
      </c>
      <c r="G7" s="1" t="s">
        <v>5</v>
      </c>
      <c r="H7" s="4">
        <f>res_share_region_target*'LEAP Scenario'!H7</f>
        <v>0.58765891472868215</v>
      </c>
      <c r="I7" s="4">
        <f>res_share_region_target*'LEAP Scenario'!I7</f>
        <v>2.8105426356589147</v>
      </c>
      <c r="J7" s="4">
        <f>res_share_region_target*'LEAP Scenario'!J7</f>
        <v>5.7488372093023257</v>
      </c>
      <c r="K7" s="5">
        <f>res_share_region_target*'LEAP Scenario'!K7</f>
        <v>6.898604651162791</v>
      </c>
      <c r="M7" s="1" t="s">
        <v>8</v>
      </c>
      <c r="N7" s="4">
        <f>com_share_region_target*'LEAP Scenario'!N7</f>
        <v>3.8368745716244006</v>
      </c>
      <c r="O7" s="4">
        <f>com_share_region_target*'LEAP Scenario'!O7</f>
        <v>4.1453050034270049</v>
      </c>
      <c r="P7" s="4">
        <f>com_share_region_target*'LEAP Scenario'!P7</f>
        <v>4.3797121315969845</v>
      </c>
      <c r="Q7" s="5">
        <f>com_share_region_target*'LEAP Scenario'!Q7</f>
        <v>4.8608636052090475</v>
      </c>
      <c r="R7" s="4"/>
      <c r="S7" s="1" t="s">
        <v>8</v>
      </c>
      <c r="T7" s="4">
        <f>com_share_region_target*'LEAP Scenario'!T7</f>
        <v>3.6888279643591506</v>
      </c>
      <c r="U7" s="4">
        <f>com_share_region_target*'LEAP Scenario'!U7</f>
        <v>3.1830020562028789</v>
      </c>
      <c r="V7" s="4">
        <f>com_share_region_target*'LEAP Scenario'!V7</f>
        <v>2.5784784098697742</v>
      </c>
      <c r="W7" s="5">
        <f>com_share_region_target*'LEAP Scenario'!W7</f>
        <v>1.6408498971898562</v>
      </c>
      <c r="Y7" s="92"/>
    </row>
    <row r="8" spans="1:25" x14ac:dyDescent="0.25">
      <c r="A8" s="1" t="s">
        <v>6</v>
      </c>
      <c r="B8" s="4">
        <f>res_share_region_target*'LEAP Scenario'!B8</f>
        <v>7.6651162790697669E-2</v>
      </c>
      <c r="C8" s="4">
        <f>res_share_region_target*'LEAP Scenario'!C8</f>
        <v>0.33215503875968994</v>
      </c>
      <c r="D8" s="4">
        <f>res_share_region_target*'LEAP Scenario'!D8</f>
        <v>1.2008682170542635</v>
      </c>
      <c r="E8" s="5">
        <f>res_share_region_target*'LEAP Scenario'!E8</f>
        <v>2.8871937984496125</v>
      </c>
      <c r="G8" s="1" t="s">
        <v>6</v>
      </c>
      <c r="H8" s="4">
        <f>res_share_region_target*'LEAP Scenario'!H8</f>
        <v>0.4088062015503876</v>
      </c>
      <c r="I8" s="4">
        <f>res_share_region_target*'LEAP Scenario'!I8</f>
        <v>1.1753178294573643</v>
      </c>
      <c r="J8" s="4">
        <f>res_share_region_target*'LEAP Scenario'!J8</f>
        <v>2.2995348837209302</v>
      </c>
      <c r="K8" s="5">
        <f>res_share_region_target*'LEAP Scenario'!K8</f>
        <v>3.2193488372093024</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3.2960000000000003</v>
      </c>
      <c r="C9" s="4">
        <f>res_share_region_target*'LEAP Scenario'!C9</f>
        <v>4.1902635658914731</v>
      </c>
      <c r="D9" s="4">
        <f>res_share_region_target*'LEAP Scenario'!D9</f>
        <v>5.1356279069767439</v>
      </c>
      <c r="E9" s="5">
        <f>res_share_region_target*'LEAP Scenario'!E9</f>
        <v>1.3030697674418605</v>
      </c>
      <c r="G9" s="1" t="s">
        <v>7</v>
      </c>
      <c r="H9" s="4">
        <f>res_share_region_target*'LEAP Scenario'!H9</f>
        <v>3.0660465116279072</v>
      </c>
      <c r="I9" s="4">
        <f>res_share_region_target*'LEAP Scenario'!I9</f>
        <v>3.5515038759689923</v>
      </c>
      <c r="J9" s="4">
        <f>res_share_region_target*'LEAP Scenario'!J9</f>
        <v>4.1136124031007757</v>
      </c>
      <c r="K9" s="5">
        <f>res_share_region_target*'LEAP Scenario'!K9</f>
        <v>0</v>
      </c>
      <c r="L9" s="21"/>
      <c r="M9" s="1" t="s">
        <v>16</v>
      </c>
      <c r="N9" s="4">
        <f>com_share_region_target*'LEAP Scenario'!N9</f>
        <v>0.51816312542837561</v>
      </c>
      <c r="O9" s="4">
        <f>com_share_region_target*'LEAP Scenario'!O9</f>
        <v>0.38245373543522965</v>
      </c>
      <c r="P9" s="4">
        <f>com_share_region_target*'LEAP Scenario'!P9</f>
        <v>0.23440712816997947</v>
      </c>
      <c r="Q9" s="5">
        <f>com_share_region_target*'LEAP Scenario'!Q9</f>
        <v>0</v>
      </c>
      <c r="R9" s="2"/>
      <c r="S9" s="1" t="s">
        <v>16</v>
      </c>
      <c r="T9" s="4">
        <f>com_share_region_target*'LEAP Scenario'!T9</f>
        <v>0.51816312542837561</v>
      </c>
      <c r="U9" s="4">
        <f>com_share_region_target*'LEAP Scenario'!U9</f>
        <v>0.38245373543522965</v>
      </c>
      <c r="V9" s="4">
        <f>com_share_region_target*'LEAP Scenario'!V9</f>
        <v>0.23440712816997947</v>
      </c>
      <c r="W9" s="5">
        <f>com_share_region_target*'LEAP Scenario'!W9</f>
        <v>0</v>
      </c>
      <c r="Y9" s="23"/>
    </row>
    <row r="10" spans="1:25" x14ac:dyDescent="0.25">
      <c r="A10" s="1" t="s">
        <v>8</v>
      </c>
      <c r="B10" s="4">
        <f>res_share_region_target*'LEAP Scenario'!B10</f>
        <v>18.472930232558141</v>
      </c>
      <c r="C10" s="4">
        <f>res_share_region_target*'LEAP Scenario'!C10</f>
        <v>15.074728682170543</v>
      </c>
      <c r="D10" s="4">
        <f>res_share_region_target*'LEAP Scenario'!D10</f>
        <v>12.059782945736435</v>
      </c>
      <c r="E10" s="5">
        <f>res_share_region_target*'LEAP Scenario'!E10</f>
        <v>8.0739224806201548</v>
      </c>
      <c r="G10" s="1" t="s">
        <v>8</v>
      </c>
      <c r="H10" s="4">
        <f>res_share_region_target*'LEAP Scenario'!H10</f>
        <v>18.064124031007751</v>
      </c>
      <c r="I10" s="4">
        <f>res_share_region_target*'LEAP Scenario'!I10</f>
        <v>14.129364341085271</v>
      </c>
      <c r="J10" s="4">
        <f>res_share_region_target*'LEAP Scenario'!J10</f>
        <v>9.0448372093023259</v>
      </c>
      <c r="K10" s="5">
        <f>res_share_region_target*'LEAP Scenario'!K10</f>
        <v>3.168248062015504</v>
      </c>
      <c r="L10" s="21"/>
      <c r="M10" s="1" t="s">
        <v>17</v>
      </c>
      <c r="N10" s="4">
        <f>com_share_region_target*'LEAP Scenario'!N10</f>
        <v>1.6655243317340647</v>
      </c>
      <c r="O10" s="4">
        <f>com_share_region_target*'LEAP Scenario'!O10</f>
        <v>1.8629198080877316</v>
      </c>
      <c r="P10" s="4">
        <f>com_share_region_target*'LEAP Scenario'!P10</f>
        <v>2.0479780671692942</v>
      </c>
      <c r="Q10" s="5">
        <f>com_share_region_target*'LEAP Scenario'!Q10</f>
        <v>2.3687457162440029</v>
      </c>
      <c r="R10" s="4"/>
      <c r="S10" s="1" t="s">
        <v>17</v>
      </c>
      <c r="T10" s="4">
        <f>com_share_region_target*'LEAP Scenario'!T10</f>
        <v>1.7395476353666897</v>
      </c>
      <c r="U10" s="4">
        <f>com_share_region_target*'LEAP Scenario'!U10</f>
        <v>2.3810829335161072</v>
      </c>
      <c r="V10" s="4">
        <f>com_share_region_target*'LEAP Scenario'!V10</f>
        <v>3.0102810143934207</v>
      </c>
      <c r="W10" s="5">
        <f>com_share_region_target*'LEAP Scenario'!W10</f>
        <v>4.0959561343385884</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20.418094585332422</v>
      </c>
      <c r="O11" s="8">
        <f>SUM(O4:O10)</f>
        <v>20.467443454420842</v>
      </c>
      <c r="P11" s="8">
        <f>SUM(P4:P10)</f>
        <v>20.109664153529817</v>
      </c>
      <c r="Q11" s="9">
        <f>SUM(Q4:Q10)</f>
        <v>19.924605894448252</v>
      </c>
      <c r="R11" s="4"/>
      <c r="S11" s="7" t="s">
        <v>12</v>
      </c>
      <c r="T11" s="8">
        <f>SUM(T4:T10)</f>
        <v>20.257710760795067</v>
      </c>
      <c r="U11" s="8">
        <f>SUM(U4:U10)</f>
        <v>19.394105551747778</v>
      </c>
      <c r="V11" s="8">
        <f>SUM(V4:V10)</f>
        <v>18.074023303632629</v>
      </c>
      <c r="W11" s="9">
        <f>SUM(W4:W10)</f>
        <v>16.309801233721728</v>
      </c>
    </row>
    <row r="12" spans="1:25" x14ac:dyDescent="0.25">
      <c r="A12" s="1" t="s">
        <v>10</v>
      </c>
      <c r="B12" s="4">
        <f>res_share_region_target*'LEAP Scenario'!B12</f>
        <v>44.994232558139537</v>
      </c>
      <c r="C12" s="4">
        <f>res_share_region_target*'LEAP Scenario'!C12</f>
        <v>34.288620155038757</v>
      </c>
      <c r="D12" s="4">
        <f>res_share_region_target*'LEAP Scenario'!D12</f>
        <v>24.017364341085273</v>
      </c>
      <c r="E12" s="5">
        <f>res_share_region_target*'LEAP Scenario'!E12</f>
        <v>10.501209302325581</v>
      </c>
      <c r="G12" s="1" t="s">
        <v>10</v>
      </c>
      <c r="H12" s="4">
        <f>res_share_region_target*'LEAP Scenario'!H12</f>
        <v>43.282356589147291</v>
      </c>
      <c r="I12" s="4">
        <f>res_share_region_target*'LEAP Scenario'!I12</f>
        <v>29.07634108527132</v>
      </c>
      <c r="J12" s="4">
        <f>res_share_region_target*'LEAP Scenario'!J12</f>
        <v>15.355782945736435</v>
      </c>
      <c r="K12" s="5">
        <f>res_share_region_target*'LEAP Scenario'!K12</f>
        <v>0</v>
      </c>
      <c r="L12" s="21"/>
    </row>
    <row r="13" spans="1:25" x14ac:dyDescent="0.25">
      <c r="A13" s="1" t="s">
        <v>11</v>
      </c>
      <c r="B13" s="4">
        <f>res_share_region_target*'LEAP Scenario'!B13</f>
        <v>9.3003410852713184</v>
      </c>
      <c r="C13" s="4">
        <f>res_share_region_target*'LEAP Scenario'!C13</f>
        <v>8.252775193798449</v>
      </c>
      <c r="D13" s="4">
        <f>res_share_region_target*'LEAP Scenario'!D13</f>
        <v>7.4096124031007751</v>
      </c>
      <c r="E13" s="5">
        <f>res_share_region_target*'LEAP Scenario'!E13</f>
        <v>6.6175503875968991</v>
      </c>
      <c r="G13" s="1" t="s">
        <v>11</v>
      </c>
      <c r="H13" s="4">
        <f>res_share_region_target*'LEAP Scenario'!H13</f>
        <v>8.0739224806201548</v>
      </c>
      <c r="I13" s="4">
        <f>res_share_region_target*'LEAP Scenario'!I13</f>
        <v>9.0192868217054265</v>
      </c>
      <c r="J13" s="4">
        <f>res_share_region_target*'LEAP Scenario'!J13</f>
        <v>8.0994728682170543</v>
      </c>
      <c r="K13" s="5">
        <f>res_share_region_target*'LEAP Scenario'!K13</f>
        <v>7.5629147286821707</v>
      </c>
      <c r="L13" s="21"/>
      <c r="N13" s="21"/>
      <c r="O13" s="21"/>
      <c r="P13" s="21"/>
      <c r="Q13" s="21"/>
      <c r="T13" s="21"/>
      <c r="U13" s="21"/>
      <c r="V13" s="21"/>
      <c r="W13" s="21"/>
    </row>
    <row r="14" spans="1:25" x14ac:dyDescent="0.25">
      <c r="A14" s="7" t="s">
        <v>12</v>
      </c>
      <c r="B14" s="8">
        <f>SUM(B4:B13)</f>
        <v>129.97482170542636</v>
      </c>
      <c r="C14" s="8">
        <f>SUM(C4:C13)</f>
        <v>108.97240310077518</v>
      </c>
      <c r="D14" s="8">
        <f>SUM(D4:D13)</f>
        <v>90.039565891472876</v>
      </c>
      <c r="E14" s="9">
        <f>SUM(E4:E13)</f>
        <v>61.448682170542646</v>
      </c>
      <c r="G14" s="7" t="s">
        <v>12</v>
      </c>
      <c r="H14" s="8">
        <f>SUM(H4:H13)</f>
        <v>126.62772093023258</v>
      </c>
      <c r="I14" s="8">
        <f>SUM(I4:I13)</f>
        <v>103.37686821705427</v>
      </c>
      <c r="J14" s="8">
        <f>SUM(J4:J13)</f>
        <v>78.184186046511627</v>
      </c>
      <c r="K14" s="9">
        <f>SUM(K4:K13)</f>
        <v>44.048868217054263</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7" t="s">
        <v>472</v>
      </c>
      <c r="B22" s="228"/>
      <c r="C22" s="228"/>
      <c r="D22" s="228"/>
      <c r="E22" s="229"/>
      <c r="G22" s="227" t="s">
        <v>473</v>
      </c>
      <c r="H22" s="228"/>
      <c r="I22" s="228"/>
      <c r="J22" s="228"/>
      <c r="K22" s="229"/>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74.402728682170547</v>
      </c>
      <c r="C24" s="4">
        <f>res_share_region_target*'LEAP Scenario'!C24</f>
        <v>60.554418604651161</v>
      </c>
      <c r="D24" s="4">
        <f>res_share_region_target*'LEAP Scenario'!D24</f>
        <v>51.611782945736437</v>
      </c>
      <c r="E24" s="5">
        <f>res_share_region_target*'LEAP Scenario'!E24</f>
        <v>43.333457364341086</v>
      </c>
      <c r="G24" s="1" t="s">
        <v>21</v>
      </c>
      <c r="H24" s="4">
        <f>res_share_region_target*'LEAP Scenario'!H24</f>
        <v>74.683782945736439</v>
      </c>
      <c r="I24" s="4">
        <f>res_share_region_target*'LEAP Scenario'!I24</f>
        <v>53.502511627906976</v>
      </c>
      <c r="J24" s="4">
        <f>res_share_region_target*'LEAP Scenario'!J24</f>
        <v>29.791751937984497</v>
      </c>
      <c r="K24" s="5">
        <f>res_share_region_target*'LEAP Scenario'!K24</f>
        <v>2.3250852713178296</v>
      </c>
    </row>
    <row r="25" spans="1:16" x14ac:dyDescent="0.25">
      <c r="A25" s="1" t="s">
        <v>22</v>
      </c>
      <c r="B25" s="4">
        <f>res_share_region_target*'LEAP Scenario'!B25</f>
        <v>10.092403100775194</v>
      </c>
      <c r="C25" s="4">
        <f>res_share_region_target*'LEAP Scenario'!C25</f>
        <v>8.1505736434108531</v>
      </c>
      <c r="D25" s="4">
        <f>res_share_region_target*'LEAP Scenario'!D25</f>
        <v>6.898604651162791</v>
      </c>
      <c r="E25" s="5">
        <f>res_share_region_target*'LEAP Scenario'!E25</f>
        <v>5.7232868217054262</v>
      </c>
      <c r="G25" s="1" t="s">
        <v>22</v>
      </c>
      <c r="H25" s="4">
        <f>res_share_region_target*'LEAP Scenario'!H25</f>
        <v>9.9646511627906982</v>
      </c>
      <c r="I25" s="4">
        <f>res_share_region_target*'LEAP Scenario'!I25</f>
        <v>6.6431007751937985</v>
      </c>
      <c r="J25" s="4">
        <f>res_share_region_target*'LEAP Scenario'!J25</f>
        <v>3.6026046511627907</v>
      </c>
      <c r="K25" s="5">
        <f>res_share_region_target*'LEAP Scenario'!K25</f>
        <v>0.4088062015503876</v>
      </c>
    </row>
    <row r="26" spans="1:16" x14ac:dyDescent="0.25">
      <c r="A26" s="1" t="s">
        <v>23</v>
      </c>
      <c r="B26" s="4">
        <f>res_share_region_target*'LEAP Scenario'!B26</f>
        <v>7.6651162790697669E-2</v>
      </c>
      <c r="C26" s="4">
        <f>res_share_region_target*'LEAP Scenario'!C26</f>
        <v>0.22995348837209303</v>
      </c>
      <c r="D26" s="4">
        <f>res_share_region_target*'LEAP Scenario'!D26</f>
        <v>0.35770542635658914</v>
      </c>
      <c r="E26" s="5">
        <f>res_share_region_target*'LEAP Scenario'!E26</f>
        <v>0.53655813953488374</v>
      </c>
      <c r="G26" s="1" t="s">
        <v>23</v>
      </c>
      <c r="H26" s="4">
        <f>res_share_region_target*'LEAP Scenario'!H26</f>
        <v>7.6651162790697669E-2</v>
      </c>
      <c r="I26" s="4">
        <f>res_share_region_target*'LEAP Scenario'!I26</f>
        <v>2.0951317829457365</v>
      </c>
      <c r="J26" s="4">
        <f>res_share_region_target*'LEAP Scenario'!J26</f>
        <v>6.0809922480620155</v>
      </c>
      <c r="K26" s="5">
        <f>res_share_region_target*'LEAP Scenario'!K26</f>
        <v>11.778728682170543</v>
      </c>
    </row>
    <row r="27" spans="1:16" x14ac:dyDescent="0.25">
      <c r="A27" s="1" t="s">
        <v>20</v>
      </c>
      <c r="B27" s="4">
        <f>res_share_region_target*'LEAP Scenario'!B27</f>
        <v>2.7083410852713179</v>
      </c>
      <c r="C27" s="4">
        <f>res_share_region_target*'LEAP Scenario'!C27</f>
        <v>2.5550387596899227</v>
      </c>
      <c r="D27" s="4">
        <f>res_share_region_target*'LEAP Scenario'!D27</f>
        <v>2.5039379844961243</v>
      </c>
      <c r="E27" s="5">
        <f>res_share_region_target*'LEAP Scenario'!E27</f>
        <v>2.4783875968992248</v>
      </c>
      <c r="G27" s="1" t="s">
        <v>20</v>
      </c>
      <c r="H27" s="4">
        <f>res_share_region_target*'LEAP Scenario'!H27</f>
        <v>2.5039379844961243</v>
      </c>
      <c r="I27" s="4">
        <f>res_share_region_target*'LEAP Scenario'!I27</f>
        <v>1.5585736434108528</v>
      </c>
      <c r="J27" s="4">
        <f>res_share_region_target*'LEAP Scenario'!J27</f>
        <v>0.84316279069767441</v>
      </c>
      <c r="K27" s="5">
        <f>res_share_region_target*'LEAP Scenario'!K27</f>
        <v>2.5550387596899225E-2</v>
      </c>
    </row>
    <row r="28" spans="1:16" x14ac:dyDescent="0.25">
      <c r="A28" s="1" t="s">
        <v>18</v>
      </c>
      <c r="B28" s="4">
        <f>res_share_region_target*'LEAP Scenario'!B28</f>
        <v>2.5550387596899225E-2</v>
      </c>
      <c r="C28" s="4">
        <f>res_share_region_target*'LEAP Scenario'!C28</f>
        <v>2.5550387596899225E-2</v>
      </c>
      <c r="D28" s="4">
        <f>res_share_region_target*'LEAP Scenario'!D28</f>
        <v>2.5550387596899225E-2</v>
      </c>
      <c r="E28" s="5">
        <f>res_share_region_target*'LEAP Scenario'!E28</f>
        <v>0</v>
      </c>
      <c r="G28" s="1" t="s">
        <v>18</v>
      </c>
      <c r="H28" s="4">
        <f>res_share_region_target*'LEAP Scenario'!H28</f>
        <v>0.2044031007751938</v>
      </c>
      <c r="I28" s="4">
        <f>res_share_region_target*'LEAP Scenario'!I28</f>
        <v>0.97091472868217055</v>
      </c>
      <c r="J28" s="4">
        <f>res_share_region_target*'LEAP Scenario'!J28</f>
        <v>1.5585736434108528</v>
      </c>
      <c r="K28" s="5">
        <f>res_share_region_target*'LEAP Scenario'!K28</f>
        <v>2.2228837209302328</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87.305674418604653</v>
      </c>
      <c r="C30" s="8">
        <f>SUM(C24:C29)</f>
        <v>71.515534883720917</v>
      </c>
      <c r="D30" s="8">
        <f>SUM(D24:D29)</f>
        <v>61.397581395348844</v>
      </c>
      <c r="E30" s="9">
        <f>SUM(E24:E29)</f>
        <v>52.071689922480623</v>
      </c>
      <c r="G30" s="7" t="s">
        <v>12</v>
      </c>
      <c r="H30" s="8">
        <f>SUM(H24:H29)</f>
        <v>87.433426356589152</v>
      </c>
      <c r="I30" s="8">
        <f>SUM(I24:I29)</f>
        <v>64.77023255813954</v>
      </c>
      <c r="J30" s="8">
        <f>SUM(J24:J29)</f>
        <v>41.877085271317831</v>
      </c>
      <c r="K30" s="9">
        <f>SUM(K24:K29)</f>
        <v>16.761054263565892</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0" t="s">
        <v>184</v>
      </c>
      <c r="B48" s="17">
        <v>2015</v>
      </c>
      <c r="C48" s="17">
        <v>2025</v>
      </c>
      <c r="D48" s="17">
        <v>2035</v>
      </c>
      <c r="E48" s="17">
        <v>2050</v>
      </c>
    </row>
    <row r="49" spans="1:5" ht="89.25" customHeight="1" x14ac:dyDescent="0.25">
      <c r="A49" s="230"/>
      <c r="B49" s="20">
        <f>res_share_region_target*'LEAP Scenario'!B49</f>
        <v>0.30660465116279068</v>
      </c>
      <c r="C49" s="20">
        <f>res_share_region_target*'LEAP Scenario'!C49</f>
        <v>1.4308217054263566</v>
      </c>
      <c r="D49" s="20">
        <f>res_share_region_target*'LEAP Scenario'!D49</f>
        <v>2.2484341085271318</v>
      </c>
      <c r="E49" s="20">
        <f>res_share_region_target*'LEAP Scenario'!E49</f>
        <v>3.2960000000000003</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27" t="s">
        <v>25</v>
      </c>
      <c r="C4" s="228"/>
      <c r="D4" s="228"/>
      <c r="E4" s="228"/>
      <c r="F4" s="229"/>
      <c r="H4" s="227" t="s">
        <v>30</v>
      </c>
      <c r="I4" s="228"/>
      <c r="J4" s="228"/>
      <c r="K4" s="228"/>
      <c r="L4" s="229"/>
      <c r="N4" s="227" t="s">
        <v>30</v>
      </c>
      <c r="O4" s="228"/>
      <c r="P4" s="228"/>
      <c r="Q4" s="228"/>
      <c r="R4" s="229"/>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129974.82170542637</v>
      </c>
      <c r="J21" s="63">
        <f>'2.Heat Targets'!C24</f>
        <v>108972.40310077518</v>
      </c>
      <c r="K21" s="63">
        <f>'2.Heat Targets'!D24</f>
        <v>90039.56589147287</v>
      </c>
      <c r="L21" s="64">
        <f>'2.Heat Targets'!E24</f>
        <v>61448.682170542648</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1037.3457364341086</v>
      </c>
      <c r="J22" s="63">
        <f>'2.Heat Targets'!C25</f>
        <v>5559.7643410852716</v>
      </c>
      <c r="K22" s="63">
        <f>'2.Heat Targets'!D25</f>
        <v>10945.786046511626</v>
      </c>
      <c r="L22" s="64">
        <f>'2.Heat Targets'!E25</f>
        <v>11725.072868217052</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126627.72093023258</v>
      </c>
      <c r="J23" s="63">
        <f>'2.Heat Targets'!C26</f>
        <v>103376.86821705426</v>
      </c>
      <c r="K23" s="63">
        <f>'2.Heat Targets'!D26</f>
        <v>78184.186046511633</v>
      </c>
      <c r="L23" s="64">
        <f>'2.Heat Targets'!E26</f>
        <v>44048.86821705426</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1395.0511627906976</v>
      </c>
      <c r="J24" s="63">
        <f>'2.Heat Targets'!C27</f>
        <v>6377.3767441860473</v>
      </c>
      <c r="K24" s="63">
        <f>'2.Heat Targets'!D27</f>
        <v>14487.069767441857</v>
      </c>
      <c r="L24" s="64">
        <f>'2.Heat Targets'!E27</f>
        <v>20235.906976744187</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2989.3953488372049</v>
      </c>
      <c r="J25" s="63">
        <f>'2.Heat Targets'!C28</f>
        <v>4777.9224806201455</v>
      </c>
      <c r="K25" s="63">
        <f>'2.Heat Targets'!D28</f>
        <v>8314.0961240310044</v>
      </c>
      <c r="L25" s="64">
        <f>'2.Heat Targets'!E28</f>
        <v>8888.9798449612535</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5">
        <f>'2.Heat Targets'!B29</f>
        <v>38.17</v>
      </c>
      <c r="J26" s="305">
        <f>'2.Heat Targets'!C29</f>
        <v>0</v>
      </c>
      <c r="K26" s="305">
        <f>'2.Heat Targets'!D29</f>
        <v>0</v>
      </c>
      <c r="L26" s="305">
        <f>'2.Heat Targets'!E29</f>
        <v>0</v>
      </c>
      <c r="O26" s="305">
        <f>'2.Heat Targets'!B29</f>
        <v>38.17</v>
      </c>
      <c r="P26" s="305"/>
      <c r="Q26" s="305"/>
      <c r="R26" s="305"/>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78.317928971370307</v>
      </c>
      <c r="J27" s="63">
        <f>'2.Heat Targets'!C30</f>
        <v>125.17480955253197</v>
      </c>
      <c r="K27" s="63">
        <f>'2.Heat Targets'!D30</f>
        <v>217.81755630157201</v>
      </c>
      <c r="L27" s="64">
        <f>'2.Heat Targets'!E30</f>
        <v>232.87869648837446</v>
      </c>
      <c r="O27" s="62">
        <f>O25/$O$26</f>
        <v>266.59352421253925</v>
      </c>
      <c r="P27" s="63">
        <f>P25/$O$26</f>
        <v>1154.605078643674</v>
      </c>
      <c r="Q27" s="63">
        <f>Q25/$O$26</f>
        <v>1740.8490744331414</v>
      </c>
      <c r="R27" s="64">
        <f>R25/$O$26</f>
        <v>3707.9134158636289</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618</v>
      </c>
      <c r="J28" s="203">
        <f>'2.Heat Targets'!C31</f>
        <v>655.08000000000004</v>
      </c>
      <c r="K28" s="203">
        <f>'2.Heat Targets'!D31</f>
        <v>694.38480000000004</v>
      </c>
      <c r="L28" s="203">
        <f>'2.Heat Targets'!E31</f>
        <v>736.04788800000006</v>
      </c>
      <c r="O28" s="203">
        <f>'2.Heat Targets'!B31</f>
        <v>618</v>
      </c>
      <c r="P28" s="203">
        <f>'2.Heat Targets'!C31</f>
        <v>655.08000000000004</v>
      </c>
      <c r="Q28" s="203">
        <f>'2.Heat Targets'!D31</f>
        <v>694.38480000000004</v>
      </c>
      <c r="R28" s="203">
        <f>'2.Heat Targets'!E31</f>
        <v>736.04788800000006</v>
      </c>
      <c r="T28" t="str">
        <f>'2.Heat Targets'!G31</f>
        <v>Enter a projection of the number of future residences in the area by each year.</v>
      </c>
    </row>
    <row r="29" spans="8:20" x14ac:dyDescent="0.25">
      <c r="I29" s="86">
        <f>'2.Heat Targets'!B32</f>
        <v>0.12672804040674807</v>
      </c>
      <c r="J29" s="87">
        <f>'2.Heat Targets'!C32</f>
        <v>0.19108324105839281</v>
      </c>
      <c r="K29" s="87">
        <f>'2.Heat Targets'!D32</f>
        <v>0.31368422278479025</v>
      </c>
      <c r="L29" s="88">
        <f>'2.Heat Targets'!E32</f>
        <v>0.31639068637389317</v>
      </c>
      <c r="O29" s="104">
        <f>O27/O28</f>
        <v>0.43138110714003114</v>
      </c>
      <c r="P29" s="105">
        <f>P27/P28</f>
        <v>1.7625405731264485</v>
      </c>
      <c r="Q29" s="105">
        <f>Q27/Q28</f>
        <v>2.5070379916627514</v>
      </c>
      <c r="R29" s="106">
        <f>R27/R28</f>
        <v>5.0375980643580469</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152.68</v>
      </c>
      <c r="J34" s="94">
        <f>'2.Heat Targets'!C54</f>
        <v>145.38635268880114</v>
      </c>
      <c r="K34" s="94">
        <f>'2.Heat Targets'!D54</f>
        <v>140.70667321630455</v>
      </c>
      <c r="L34" s="95">
        <f>'2.Heat Targets'!E54</f>
        <v>140.60336750110849</v>
      </c>
      <c r="O34" s="107">
        <f>'1.Current Heat'!B10</f>
        <v>152.68</v>
      </c>
      <c r="P34" s="108">
        <f>P29*($O$34-$O$26)+(1-P29)*$O$34</f>
        <v>85.403826323763454</v>
      </c>
      <c r="Q34" s="108">
        <f>Q29*($O$34-$O$26)+(1-Q29)*$O$34</f>
        <v>56.98635985823276</v>
      </c>
      <c r="R34" s="110">
        <f>R29*($O$34-$O$26)+(1-R29)*$O$34</f>
        <v>-39.605118116546691</v>
      </c>
      <c r="T34" t="str">
        <f>'2.Heat Targets'!G54</f>
        <v>This is a projection of the average area residential heating load, in millions of Btu, computed based on values inputted above and in the "1.Current Heat" tab</v>
      </c>
    </row>
    <row r="35" spans="9:20" x14ac:dyDescent="0.25">
      <c r="I35" s="81">
        <f>'2.Heat Targets'!B55</f>
        <v>46706.108527131786</v>
      </c>
      <c r="J35" s="82">
        <f>'2.Heat Targets'!C55</f>
        <v>33905.364341085275</v>
      </c>
      <c r="K35" s="82">
        <f>'2.Heat Targets'!D55</f>
        <v>21564.527131782947</v>
      </c>
      <c r="L35" s="83">
        <f>'2.Heat Targets'!E55</f>
        <v>3244.8992248062013</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7.658643326039387E-3</v>
      </c>
      <c r="J36" s="97">
        <f>'2.Heat Targets'!C56</f>
        <v>3.7678975131876409E-2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305.9084917941563</v>
      </c>
      <c r="J37" s="63">
        <f>'2.Heat Targets'!C57</f>
        <v>233.20871398197573</v>
      </c>
      <c r="K37" s="63">
        <f>'2.Heat Targets'!D57</f>
        <v>153.25873776172921</v>
      </c>
      <c r="L37" s="64">
        <f>'2.Heat Targets'!E57</f>
        <v>23.078389106012125</v>
      </c>
      <c r="O37" s="62">
        <f>O35/O34</f>
        <v>1826.9800354473061</v>
      </c>
      <c r="P37" s="62">
        <f>P35/P34</f>
        <v>2491.9807871056828</v>
      </c>
      <c r="Q37" s="62">
        <f>Q35/Q34</f>
        <v>2624.1507260159142</v>
      </c>
      <c r="R37" s="112">
        <f>R35/R34</f>
        <v>-1243.6861197812959</v>
      </c>
      <c r="T37" t="str">
        <f>'2.Heat Targets'!G57</f>
        <v>This formula computes an estimate the number of residences using biofuel-blended heat energy in the 90x50 scenario based on values inputted in the "1.Current Heat" tab.</v>
      </c>
    </row>
    <row r="38" spans="9:20" x14ac:dyDescent="0.25">
      <c r="I38" s="65">
        <f>'2.Heat Targets'!B58</f>
        <v>0.49499755953746977</v>
      </c>
      <c r="J38" s="66">
        <f>'2.Heat Targets'!C58</f>
        <v>0.35600035718076528</v>
      </c>
      <c r="K38" s="66">
        <f>'2.Heat Targets'!D58</f>
        <v>0.22071153884953876</v>
      </c>
      <c r="L38" s="67">
        <f>'2.Heat Targets'!E58</f>
        <v>3.1354466852314536E-2</v>
      </c>
      <c r="O38" s="109">
        <f>O37/O28</f>
        <v>2.9562783745102039</v>
      </c>
      <c r="P38" s="109">
        <f>P37/P28</f>
        <v>3.8040861987935561</v>
      </c>
      <c r="Q38" s="109">
        <f>Q37/Q28</f>
        <v>3.7791016249432792</v>
      </c>
      <c r="R38" s="113">
        <f>R37/R28</f>
        <v>-1.6896809841553351</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55572.093023255817</v>
      </c>
      <c r="J39" s="82">
        <f>'2.Heat Targets'!C59</f>
        <v>46578.35658914729</v>
      </c>
      <c r="K39" s="82">
        <f>'2.Heat Targets'!D59</f>
        <v>36920.310077519382</v>
      </c>
      <c r="L39" s="83">
        <f>'2.Heat Targets'!E59</f>
        <v>26725.705426356591</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363.97755451438178</v>
      </c>
      <c r="J40" s="63">
        <f>'2.Heat Targets'!C60</f>
        <v>320.37640210184009</v>
      </c>
      <c r="K40" s="63">
        <f>'2.Heat Targets'!D60</f>
        <v>262.39203325319755</v>
      </c>
      <c r="L40" s="64">
        <f>'2.Heat Targets'!E60</f>
        <v>190.07870082589517</v>
      </c>
      <c r="O40" s="62">
        <f>O39/O34</f>
        <v>1226.7576552762828</v>
      </c>
      <c r="P40" s="62">
        <f>P39/P34</f>
        <v>2265.0420013387502</v>
      </c>
      <c r="Q40" s="62">
        <f>Q39/Q34</f>
        <v>3424.6617295418228</v>
      </c>
      <c r="R40" s="112">
        <f>R39/R34</f>
        <v>-5038.7498411361412</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0.58896044419802873</v>
      </c>
      <c r="J41" s="66">
        <f>'2.Heat Targets'!C61</f>
        <v>0.48906454494388479</v>
      </c>
      <c r="K41" s="66">
        <f>'2.Heat Targets'!D61</f>
        <v>0.37787698298291889</v>
      </c>
      <c r="L41" s="67">
        <f>'2.Heat Targets'!E61</f>
        <v>0.25824230179150404</v>
      </c>
      <c r="O41" s="109">
        <f>O40/O28</f>
        <v>1.9850447496379979</v>
      </c>
      <c r="P41" s="109">
        <f>P40/P28</f>
        <v>3.4576570820949351</v>
      </c>
      <c r="Q41" s="109">
        <f>Q40/Q28</f>
        <v>4.9319364847010227</v>
      </c>
      <c r="R41" s="113">
        <f>R40/R28</f>
        <v>-6.8456820857505685</v>
      </c>
      <c r="T41" t="str">
        <f>'2.Heat Targets'!G61</f>
        <v>This formula computes the estimated share of area residences using Wood heat  in the 90x50 scenario, based on values inputted in the "1.Current Heat" tab.</v>
      </c>
    </row>
    <row r="42" spans="9:20" x14ac:dyDescent="0.25">
      <c r="I42" s="81">
        <f>'2.Heat Targets'!B62</f>
        <v>996.46511627906978</v>
      </c>
      <c r="J42" s="82">
        <f>'2.Heat Targets'!C62</f>
        <v>3985.8604651162791</v>
      </c>
      <c r="K42" s="82">
        <f>'2.Heat Targets'!D62</f>
        <v>8048.3720930232557</v>
      </c>
      <c r="L42" s="83">
        <f>'2.Heat Targets'!E62</f>
        <v>10117.953488372093</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22.376551134677264</v>
      </c>
      <c r="J43" s="63">
        <f>'2.Heat Targets'!C63</f>
        <v>95.040898659723041</v>
      </c>
      <c r="K43" s="63">
        <f>'2.Heat Targets'!D63</f>
        <v>200.19876585581332</v>
      </c>
      <c r="L43" s="64">
        <f>'2.Heat Targets'!E63</f>
        <v>253.97986343624277</v>
      </c>
      <c r="O43" s="62">
        <f>O42/((0.7*O34)/2.4)</f>
        <v>136.24679764500385</v>
      </c>
      <c r="P43" s="112">
        <f>P42/((0.75*P34)/2.6)</f>
        <v>1151.1501214898117</v>
      </c>
      <c r="Q43" s="112">
        <f>Q42/((0.8*Q34)/2.8)</f>
        <v>4055.5275281256718</v>
      </c>
      <c r="R43" s="64">
        <f>R42/((0.85*R34)/3)</f>
        <v>-8871.4636243900568</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3.6208011544785215E-2</v>
      </c>
      <c r="J44" s="66">
        <f>'2.Heat Targets'!C64</f>
        <v>0.14508288859333673</v>
      </c>
      <c r="K44" s="66">
        <f>'2.Heat Targets'!D64</f>
        <v>0.28831098528627541</v>
      </c>
      <c r="L44" s="67">
        <f>'2.Heat Targets'!E64</f>
        <v>0.34505888485919106</v>
      </c>
      <c r="O44" s="109">
        <f>O43/O28</f>
        <v>0.22046407385922953</v>
      </c>
      <c r="P44" s="109">
        <f>P43/P28</f>
        <v>1.7572664735449284</v>
      </c>
      <c r="Q44" s="109">
        <f>Q43/Q28</f>
        <v>5.8404612660381847</v>
      </c>
      <c r="R44" s="113">
        <f>R43/R28</f>
        <v>-12.052834834559102</v>
      </c>
      <c r="T44" t="str">
        <f>'2.Heat Targets'!G64</f>
        <v>This formula computes the estimated share of area residences using Heat Pumps in the 90x50 scenario based on values inputted above and in the "1.Current Heat" tab.</v>
      </c>
    </row>
    <row r="45" spans="9:20" x14ac:dyDescent="0.25">
      <c r="I45" s="81">
        <f>'2.Heat Targets'!B65</f>
        <v>18064.124031007752</v>
      </c>
      <c r="J45" s="82">
        <f>'2.Heat Targets'!C65</f>
        <v>14129.364341085271</v>
      </c>
      <c r="K45" s="82">
        <f>'2.Heat Targets'!D65</f>
        <v>9044.8372093023263</v>
      </c>
      <c r="L45" s="83">
        <f>'2.Heat Targets'!E65</f>
        <v>3168.2480620155038</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118.31362346743353</v>
      </c>
      <c r="J46" s="63">
        <f>'2.Heat Targets'!C66</f>
        <v>97.184942601380982</v>
      </c>
      <c r="K46" s="63">
        <f>'2.Heat Targets'!D66</f>
        <v>64.281508492478849</v>
      </c>
      <c r="L46" s="64">
        <f>'2.Heat Targets'!E66</f>
        <v>22.533230308232312</v>
      </c>
      <c r="O46" s="62">
        <f>O45/O34</f>
        <v>1552.4882154864495</v>
      </c>
      <c r="P46" s="62">
        <f>P45/P34</f>
        <v>2189.0568930624954</v>
      </c>
      <c r="Q46" s="62">
        <f>Q45/Q34</f>
        <v>2068.4979170158504</v>
      </c>
      <c r="R46" s="112">
        <f>R45/R34</f>
        <v>-755.58988057727743</v>
      </c>
      <c r="T46" t="str">
        <f>'2.Heat Targets'!G66</f>
        <v>This formula computes the estimates number of area residences using fossil heat in the 90x50 scenario based on values inputted in the "1.Current Heat" tab.</v>
      </c>
    </row>
    <row r="47" spans="9:20" x14ac:dyDescent="0.25">
      <c r="I47" s="65">
        <f>'2.Heat Targets'!B67</f>
        <v>0.19144599266575005</v>
      </c>
      <c r="J47" s="66">
        <f>'2.Heat Targets'!C67</f>
        <v>0.1483558383729941</v>
      </c>
      <c r="K47" s="66">
        <f>'2.Heat Targets'!D67</f>
        <v>9.2573323166749683E-2</v>
      </c>
      <c r="L47" s="67">
        <f>'2.Heat Targets'!E67</f>
        <v>3.0613810155015769E-2</v>
      </c>
      <c r="O47" s="109">
        <f>O46/O28</f>
        <v>2.5121168535379441</v>
      </c>
      <c r="P47" s="109">
        <f>P46/P28</f>
        <v>3.3416634503610174</v>
      </c>
      <c r="Q47" s="109">
        <f>Q46/Q28</f>
        <v>2.9788928516520672</v>
      </c>
      <c r="R47" s="113">
        <f>R46/R28</f>
        <v>-1.0265498928750101</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9" sqref="E9"/>
    </sheetView>
  </sheetViews>
  <sheetFormatPr defaultRowHeight="15" x14ac:dyDescent="0.25"/>
  <sheetData>
    <row r="2" spans="1:8" x14ac:dyDescent="0.25">
      <c r="B2" t="s">
        <v>548</v>
      </c>
      <c r="C2" t="s">
        <v>279</v>
      </c>
      <c r="D2" t="s">
        <v>549</v>
      </c>
      <c r="E2" t="s">
        <v>550</v>
      </c>
    </row>
    <row r="3" spans="1:8" x14ac:dyDescent="0.25">
      <c r="A3" t="s">
        <v>551</v>
      </c>
      <c r="B3" s="216">
        <f>SUM(B4:B5)</f>
        <v>11200</v>
      </c>
      <c r="C3" s="216">
        <f t="shared" ref="C3:D3" si="0">SUM(C4:C5)</f>
        <v>2701</v>
      </c>
      <c r="D3" s="216">
        <f t="shared" si="0"/>
        <v>12287</v>
      </c>
      <c r="E3" s="217">
        <f>SUM(B3:D3)</f>
        <v>26188</v>
      </c>
    </row>
    <row r="4" spans="1:8" x14ac:dyDescent="0.25">
      <c r="A4" t="s">
        <v>552</v>
      </c>
      <c r="B4" s="216">
        <v>8789</v>
      </c>
      <c r="C4">
        <v>2156</v>
      </c>
      <c r="D4">
        <v>9047</v>
      </c>
      <c r="E4" s="217">
        <f t="shared" ref="E4:E5" si="1">SUM(B4:D4)</f>
        <v>19992</v>
      </c>
    </row>
    <row r="5" spans="1:8" x14ac:dyDescent="0.25">
      <c r="A5" t="s">
        <v>553</v>
      </c>
      <c r="B5" s="216">
        <v>2411</v>
      </c>
      <c r="C5">
        <v>545</v>
      </c>
      <c r="D5">
        <v>3240</v>
      </c>
      <c r="E5" s="217">
        <f t="shared" si="1"/>
        <v>6196</v>
      </c>
    </row>
    <row r="6" spans="1:8" x14ac:dyDescent="0.25">
      <c r="B6" s="216"/>
      <c r="E6" s="217"/>
    </row>
    <row r="7" spans="1:8" x14ac:dyDescent="0.25">
      <c r="A7" t="s">
        <v>554</v>
      </c>
      <c r="B7" t="s">
        <v>555</v>
      </c>
      <c r="C7" t="s">
        <v>553</v>
      </c>
      <c r="D7" t="s">
        <v>12</v>
      </c>
      <c r="E7" t="s">
        <v>556</v>
      </c>
      <c r="F7" t="s">
        <v>557</v>
      </c>
      <c r="G7" t="s">
        <v>558</v>
      </c>
      <c r="H7" t="s">
        <v>559</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560</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561</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562</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34" t="s">
        <v>492</v>
      </c>
      <c r="C3" s="235"/>
      <c r="D3" s="235"/>
      <c r="E3" s="235"/>
      <c r="F3" s="235"/>
      <c r="G3" s="235"/>
      <c r="H3" s="235"/>
      <c r="I3" s="235"/>
      <c r="J3" s="235"/>
      <c r="K3" s="236"/>
      <c r="O3" t="s">
        <v>213</v>
      </c>
    </row>
    <row r="4" spans="2:15" x14ac:dyDescent="0.25">
      <c r="B4" s="101"/>
      <c r="C4" s="237" t="s">
        <v>493</v>
      </c>
      <c r="D4" s="237"/>
      <c r="E4" s="237"/>
      <c r="F4" s="237"/>
      <c r="G4" s="237"/>
      <c r="H4" s="237"/>
      <c r="I4" s="237"/>
      <c r="J4" s="237"/>
      <c r="K4" s="240"/>
      <c r="O4" t="s">
        <v>246</v>
      </c>
    </row>
    <row r="5" spans="2:15" x14ac:dyDescent="0.25">
      <c r="B5" s="101"/>
      <c r="C5" s="237" t="s">
        <v>155</v>
      </c>
      <c r="D5" s="237"/>
      <c r="E5" s="237"/>
      <c r="F5" s="237"/>
      <c r="G5" s="237"/>
      <c r="H5" s="237"/>
      <c r="I5" s="237"/>
      <c r="J5" s="237"/>
      <c r="K5" s="240"/>
      <c r="O5" t="s">
        <v>285</v>
      </c>
    </row>
    <row r="6" spans="2:15" x14ac:dyDescent="0.25">
      <c r="B6" s="101"/>
      <c r="C6" s="102"/>
      <c r="D6" s="237" t="s">
        <v>153</v>
      </c>
      <c r="E6" s="237"/>
      <c r="F6" s="237"/>
      <c r="G6" s="237"/>
      <c r="H6" s="237"/>
      <c r="I6" s="237"/>
      <c r="J6" s="237"/>
      <c r="K6" s="240"/>
      <c r="O6" t="s">
        <v>290</v>
      </c>
    </row>
    <row r="7" spans="2:15" x14ac:dyDescent="0.25">
      <c r="B7" s="101"/>
      <c r="C7" s="102"/>
      <c r="D7" s="237" t="s">
        <v>154</v>
      </c>
      <c r="E7" s="237"/>
      <c r="F7" s="237"/>
      <c r="G7" s="237"/>
      <c r="H7" s="237"/>
      <c r="I7" s="237"/>
      <c r="J7" s="237"/>
      <c r="K7" s="240"/>
      <c r="O7" t="s">
        <v>323</v>
      </c>
    </row>
    <row r="8" spans="2:15" x14ac:dyDescent="0.25">
      <c r="B8" s="101"/>
      <c r="C8" s="102"/>
      <c r="D8" s="238" t="s">
        <v>156</v>
      </c>
      <c r="E8" s="238"/>
      <c r="F8" s="238"/>
      <c r="G8" s="238"/>
      <c r="H8" s="238"/>
      <c r="I8" s="238"/>
      <c r="J8" s="238"/>
      <c r="K8" s="239"/>
      <c r="O8" t="s">
        <v>324</v>
      </c>
    </row>
    <row r="9" spans="2:15" x14ac:dyDescent="0.25">
      <c r="B9" s="101"/>
      <c r="C9" s="102"/>
      <c r="D9" s="102"/>
      <c r="E9" s="102"/>
      <c r="F9" s="102"/>
      <c r="G9" s="102"/>
      <c r="H9" s="102"/>
      <c r="I9" s="102"/>
      <c r="J9" s="102"/>
      <c r="K9" s="103"/>
      <c r="O9" t="s">
        <v>397</v>
      </c>
    </row>
    <row r="10" spans="2:15" ht="15" customHeight="1" x14ac:dyDescent="0.25">
      <c r="B10" s="241" t="s">
        <v>468</v>
      </c>
      <c r="C10" s="242"/>
      <c r="D10" s="242"/>
      <c r="E10" s="242"/>
      <c r="F10" s="242"/>
      <c r="G10" s="242"/>
      <c r="H10" s="242"/>
      <c r="I10" s="243" t="s">
        <v>218</v>
      </c>
      <c r="J10" s="243"/>
      <c r="K10" s="243"/>
      <c r="O10" t="s">
        <v>431</v>
      </c>
    </row>
    <row r="11" spans="2:15" ht="15" customHeight="1" x14ac:dyDescent="0.25">
      <c r="B11" s="241" t="s">
        <v>469</v>
      </c>
      <c r="C11" s="242"/>
      <c r="D11" s="242"/>
      <c r="E11" s="242"/>
      <c r="F11" s="242"/>
      <c r="G11" s="242"/>
      <c r="H11" s="248"/>
      <c r="I11" s="244">
        <f>INDEX(town_population[Pop Share of State],MATCH(I10,town_population[Municipality]))</f>
        <v>2.6310831824611484E-3</v>
      </c>
      <c r="J11" s="245"/>
      <c r="K11" s="246"/>
      <c r="O11" t="s">
        <v>433</v>
      </c>
    </row>
    <row r="12" spans="2:15" ht="15" customHeight="1" x14ac:dyDescent="0.25">
      <c r="B12" s="204" t="s">
        <v>507</v>
      </c>
      <c r="C12" s="205"/>
      <c r="D12" s="205"/>
      <c r="E12" s="205"/>
      <c r="F12" s="205"/>
      <c r="G12" s="205"/>
      <c r="H12" s="205"/>
      <c r="I12" s="244">
        <f>INDEX(town_population[Pop Share of Region],MATCH(I10,town_population[Municipality],0))</f>
        <v>2.5550387596899225E-2</v>
      </c>
      <c r="J12" s="245"/>
      <c r="K12" s="246"/>
    </row>
    <row r="13" spans="2:15" ht="15" customHeight="1" x14ac:dyDescent="0.25">
      <c r="B13" s="258" t="s">
        <v>499</v>
      </c>
      <c r="C13" s="259"/>
      <c r="D13" s="259"/>
      <c r="E13" s="259"/>
      <c r="F13" s="259"/>
      <c r="G13" s="259"/>
      <c r="H13" s="259"/>
      <c r="I13" s="259"/>
      <c r="J13" s="259"/>
      <c r="K13" s="260"/>
    </row>
    <row r="14" spans="2:15" ht="15" customHeight="1" x14ac:dyDescent="0.25">
      <c r="B14" s="206" t="s">
        <v>513</v>
      </c>
      <c r="C14" s="207"/>
      <c r="D14" s="207"/>
      <c r="E14" s="207"/>
      <c r="F14" s="207"/>
      <c r="G14" s="207"/>
      <c r="H14" s="207"/>
      <c r="I14" s="255">
        <f>INDEX(town_establishments[share of state establishments],MATCH(I10,town_establishments[Municipality],0))</f>
        <v>9.4527885726289253E-4</v>
      </c>
      <c r="J14" s="256"/>
      <c r="K14" s="257"/>
    </row>
    <row r="15" spans="2:15" ht="15" customHeight="1" x14ac:dyDescent="0.25">
      <c r="B15" s="206" t="s">
        <v>514</v>
      </c>
      <c r="C15" s="207"/>
      <c r="D15" s="207"/>
      <c r="E15" s="207"/>
      <c r="F15" s="207"/>
      <c r="G15" s="207"/>
      <c r="H15" s="207"/>
      <c r="I15" s="244">
        <f>INDEX(town_establishments[share of regional establishments],MATCH(I10,town_establishments[Municipality],0))</f>
        <v>1.2337217272104182E-2</v>
      </c>
      <c r="J15" s="245"/>
      <c r="K15" s="246"/>
    </row>
    <row r="16" spans="2:15" ht="15" customHeight="1" x14ac:dyDescent="0.25">
      <c r="B16" s="258" t="s">
        <v>499</v>
      </c>
      <c r="C16" s="259"/>
      <c r="D16" s="259"/>
      <c r="E16" s="259"/>
      <c r="F16" s="259"/>
      <c r="G16" s="259"/>
      <c r="H16" s="259"/>
      <c r="I16" s="259"/>
      <c r="J16" s="259"/>
      <c r="K16" s="260"/>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7" t="s">
        <v>157</v>
      </c>
      <c r="D20" s="237"/>
      <c r="E20" s="237"/>
      <c r="F20" s="237"/>
      <c r="G20" s="237"/>
      <c r="H20" s="237"/>
      <c r="I20" s="201" t="s">
        <v>497</v>
      </c>
      <c r="J20" s="102"/>
      <c r="K20" s="103"/>
    </row>
    <row r="21" spans="1:15" ht="15" customHeight="1" x14ac:dyDescent="0.25">
      <c r="B21" s="101"/>
      <c r="C21" s="237" t="s">
        <v>495</v>
      </c>
      <c r="D21" s="237"/>
      <c r="E21" s="237"/>
      <c r="F21" s="237"/>
      <c r="G21" s="237"/>
      <c r="H21" s="247"/>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9" t="s">
        <v>501</v>
      </c>
      <c r="C23" s="250"/>
      <c r="D23" s="250"/>
      <c r="E23" s="250"/>
      <c r="F23" s="250"/>
      <c r="G23" s="250"/>
      <c r="H23" s="250"/>
      <c r="I23" s="250"/>
      <c r="J23" s="250"/>
      <c r="K23" s="251"/>
      <c r="O23" s="100"/>
    </row>
    <row r="24" spans="1:15" s="177" customFormat="1" x14ac:dyDescent="0.25">
      <c r="A24" s="199"/>
      <c r="B24" s="249"/>
      <c r="C24" s="250"/>
      <c r="D24" s="250"/>
      <c r="E24" s="250"/>
      <c r="F24" s="250"/>
      <c r="G24" s="250"/>
      <c r="H24" s="250"/>
      <c r="I24" s="250"/>
      <c r="J24" s="250"/>
      <c r="K24" s="251"/>
      <c r="O24" s="100"/>
    </row>
    <row r="25" spans="1:15" x14ac:dyDescent="0.25">
      <c r="B25" s="252"/>
      <c r="C25" s="253"/>
      <c r="D25" s="253"/>
      <c r="E25" s="253"/>
      <c r="F25" s="253"/>
      <c r="G25" s="253"/>
      <c r="H25" s="253"/>
      <c r="I25" s="253"/>
      <c r="J25" s="253"/>
      <c r="K25" s="254"/>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7" zoomScale="70" zoomScaleNormal="70" workbookViewId="0">
      <selection activeCell="B22" sqref="B22"/>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95825.363878787888</v>
      </c>
      <c r="C5" s="265" t="s">
        <v>481</v>
      </c>
      <c r="D5" s="262"/>
      <c r="E5" s="262"/>
      <c r="F5" s="262"/>
      <c r="G5" s="262"/>
      <c r="H5" s="262"/>
      <c r="I5" s="262"/>
      <c r="J5" s="262"/>
      <c r="K5" s="262"/>
      <c r="L5" s="262"/>
      <c r="M5" s="262"/>
      <c r="N5" s="262"/>
    </row>
    <row r="7" spans="1:16" x14ac:dyDescent="0.25">
      <c r="C7" s="53" t="s">
        <v>70</v>
      </c>
    </row>
    <row r="8" spans="1:16" x14ac:dyDescent="0.25">
      <c r="C8" s="25"/>
    </row>
    <row r="9" spans="1:16" ht="36" customHeight="1" x14ac:dyDescent="0.25">
      <c r="A9" s="32">
        <v>1</v>
      </c>
      <c r="B9" s="116">
        <v>1280</v>
      </c>
      <c r="C9" s="266" t="s">
        <v>483</v>
      </c>
      <c r="D9" s="262"/>
      <c r="E9" s="262"/>
      <c r="F9" s="262"/>
      <c r="G9" s="262"/>
      <c r="H9" s="262"/>
      <c r="I9" s="262"/>
      <c r="J9" s="262"/>
      <c r="K9" s="262"/>
      <c r="L9" s="262"/>
      <c r="M9" s="262"/>
      <c r="N9" s="262"/>
    </row>
    <row r="10" spans="1:16" ht="36" customHeight="1" x14ac:dyDescent="0.25">
      <c r="B10" s="21"/>
      <c r="C10" s="31"/>
      <c r="D10" s="125" t="s">
        <v>60</v>
      </c>
      <c r="E10" s="267" t="s">
        <v>64</v>
      </c>
      <c r="F10" s="267"/>
      <c r="G10" s="263" t="s">
        <v>61</v>
      </c>
      <c r="H10" s="263"/>
      <c r="I10" s="263"/>
      <c r="J10" s="263"/>
      <c r="K10" s="263"/>
      <c r="L10" s="263"/>
      <c r="M10" s="263"/>
      <c r="N10" s="263"/>
    </row>
    <row r="11" spans="1:16" ht="36" customHeight="1" x14ac:dyDescent="0.25">
      <c r="B11" s="21"/>
      <c r="C11" s="31"/>
      <c r="D11" s="125"/>
      <c r="E11" s="263" t="s">
        <v>65</v>
      </c>
      <c r="F11" s="263"/>
      <c r="G11" s="263" t="s">
        <v>170</v>
      </c>
      <c r="H11" s="263"/>
      <c r="I11" s="263"/>
      <c r="J11" s="263"/>
      <c r="K11" s="263"/>
      <c r="L11" s="263"/>
      <c r="M11" s="263"/>
      <c r="N11" s="263"/>
    </row>
    <row r="12" spans="1:16" ht="36" customHeight="1" x14ac:dyDescent="0.25">
      <c r="B12" s="21"/>
      <c r="C12" s="31"/>
      <c r="D12" s="125" t="s">
        <v>62</v>
      </c>
      <c r="E12" s="263" t="s">
        <v>63</v>
      </c>
      <c r="F12" s="263"/>
      <c r="G12" s="263"/>
      <c r="H12" s="263"/>
      <c r="I12" s="263"/>
      <c r="J12" s="263"/>
      <c r="K12" s="263"/>
      <c r="L12" s="263"/>
      <c r="M12" s="263"/>
      <c r="N12" s="263"/>
    </row>
    <row r="13" spans="1:16" ht="36" customHeight="1" x14ac:dyDescent="0.25">
      <c r="A13" s="32">
        <v>2</v>
      </c>
      <c r="B13" s="116">
        <v>14000</v>
      </c>
      <c r="C13" s="261" t="s">
        <v>484</v>
      </c>
      <c r="D13" s="262"/>
      <c r="E13" s="262"/>
      <c r="F13" s="262"/>
      <c r="G13" s="262"/>
      <c r="H13" s="262"/>
      <c r="I13" s="262"/>
      <c r="J13" s="262"/>
      <c r="K13" s="262"/>
      <c r="L13" s="262"/>
      <c r="M13" s="262"/>
      <c r="N13" s="262"/>
      <c r="O13" s="34">
        <f>B13/12500</f>
        <v>1.1200000000000001</v>
      </c>
      <c r="P13" s="184" t="s">
        <v>544</v>
      </c>
    </row>
    <row r="14" spans="1:16" ht="36" customHeight="1" x14ac:dyDescent="0.25">
      <c r="A14" s="32">
        <v>3</v>
      </c>
      <c r="B14" s="116">
        <v>22</v>
      </c>
      <c r="C14" s="261" t="s">
        <v>485</v>
      </c>
      <c r="D14" s="262"/>
      <c r="E14" s="262"/>
      <c r="F14" s="262"/>
      <c r="G14" s="262"/>
      <c r="H14" s="262"/>
      <c r="I14" s="262"/>
      <c r="J14" s="262"/>
      <c r="K14" s="262"/>
      <c r="L14" s="262"/>
      <c r="M14" s="262"/>
      <c r="N14" s="262"/>
    </row>
    <row r="15" spans="1:16" s="118" customFormat="1" ht="36" customHeight="1" x14ac:dyDescent="0.25">
      <c r="A15" s="117"/>
      <c r="D15" s="119">
        <v>0.4</v>
      </c>
      <c r="E15" s="262" t="s">
        <v>172</v>
      </c>
      <c r="F15" s="262"/>
      <c r="G15" s="262"/>
      <c r="H15" s="262"/>
      <c r="I15" s="262"/>
      <c r="J15" s="262"/>
      <c r="K15" s="262"/>
      <c r="L15" s="262"/>
      <c r="M15" s="262"/>
      <c r="N15" s="262"/>
    </row>
    <row r="16" spans="1:16" s="118" customFormat="1" ht="36" customHeight="1" x14ac:dyDescent="0.25">
      <c r="A16" s="117"/>
      <c r="D16" s="119">
        <f>150000/583770</f>
        <v>0.25695051133151753</v>
      </c>
      <c r="E16" s="262" t="s">
        <v>173</v>
      </c>
      <c r="F16" s="262"/>
      <c r="G16" s="262"/>
      <c r="H16" s="262"/>
      <c r="I16" s="262"/>
      <c r="J16" s="262"/>
      <c r="K16" s="262"/>
      <c r="L16" s="262"/>
      <c r="M16" s="262"/>
      <c r="N16" s="262"/>
    </row>
    <row r="17" spans="1:14" s="118" customFormat="1" ht="36" customHeight="1" x14ac:dyDescent="0.25">
      <c r="A17" s="117"/>
      <c r="D17" s="119">
        <v>0.86</v>
      </c>
      <c r="E17" s="262" t="s">
        <v>171</v>
      </c>
      <c r="F17" s="262"/>
      <c r="G17" s="262"/>
      <c r="H17" s="262"/>
      <c r="I17" s="262"/>
      <c r="J17" s="262"/>
      <c r="K17" s="262"/>
      <c r="L17" s="262"/>
      <c r="M17" s="262"/>
      <c r="N17" s="262"/>
    </row>
    <row r="18" spans="1:14" ht="36" customHeight="1" x14ac:dyDescent="0.25">
      <c r="B18" s="120">
        <f>B9*B13/B14</f>
        <v>814545.45454545459</v>
      </c>
      <c r="C18" s="263" t="s">
        <v>43</v>
      </c>
      <c r="D18" s="263"/>
      <c r="E18" s="263"/>
      <c r="F18" s="263"/>
      <c r="G18" s="263"/>
      <c r="H18" s="263"/>
      <c r="I18" s="263"/>
      <c r="J18" s="263"/>
      <c r="K18" s="263"/>
      <c r="L18" s="263"/>
      <c r="M18" s="263"/>
      <c r="N18" s="263"/>
    </row>
    <row r="19" spans="1:14" ht="36" customHeight="1" x14ac:dyDescent="0.25">
      <c r="A19" s="32">
        <v>4</v>
      </c>
      <c r="B19" s="121">
        <v>0.1</v>
      </c>
      <c r="C19" s="261" t="s">
        <v>486</v>
      </c>
      <c r="D19" s="262"/>
      <c r="E19" s="262"/>
      <c r="F19" s="262"/>
      <c r="G19" s="262"/>
      <c r="H19" s="262"/>
      <c r="I19" s="262"/>
      <c r="J19" s="262"/>
      <c r="K19" s="262"/>
      <c r="L19" s="262"/>
      <c r="M19" s="262"/>
      <c r="N19" s="262"/>
    </row>
    <row r="20" spans="1:14" ht="36" customHeight="1" x14ac:dyDescent="0.25">
      <c r="B20" s="120">
        <f>(1-B19)*B18</f>
        <v>733090.90909090918</v>
      </c>
      <c r="C20" s="262" t="s">
        <v>73</v>
      </c>
      <c r="D20" s="262"/>
      <c r="E20" s="262"/>
      <c r="F20" s="262"/>
      <c r="G20" s="262"/>
      <c r="H20" s="262"/>
      <c r="I20" s="262"/>
      <c r="J20" s="262"/>
      <c r="K20" s="262"/>
      <c r="L20" s="262"/>
      <c r="M20" s="262"/>
      <c r="N20" s="262"/>
    </row>
    <row r="21" spans="1:14" ht="36" customHeight="1" x14ac:dyDescent="0.25">
      <c r="B21" s="120">
        <f>fossilBtu</f>
        <v>121258.5</v>
      </c>
      <c r="C21" s="262" t="s">
        <v>174</v>
      </c>
      <c r="D21" s="262"/>
      <c r="E21" s="262"/>
      <c r="F21" s="262"/>
      <c r="G21" s="262"/>
      <c r="H21" s="262"/>
      <c r="I21" s="262"/>
      <c r="J21" s="262"/>
      <c r="K21" s="262"/>
      <c r="L21" s="262"/>
      <c r="M21" s="262"/>
      <c r="N21" s="262"/>
    </row>
    <row r="22" spans="1:14" ht="36" customHeight="1" x14ac:dyDescent="0.25">
      <c r="B22" s="120">
        <f>B20*B21/1000000</f>
        <v>88893.504000000015</v>
      </c>
      <c r="C22" s="262" t="s">
        <v>66</v>
      </c>
      <c r="D22" s="262"/>
      <c r="E22" s="262"/>
      <c r="F22" s="262"/>
      <c r="G22" s="262"/>
      <c r="H22" s="262"/>
      <c r="I22" s="262"/>
      <c r="J22" s="262"/>
      <c r="K22" s="262"/>
      <c r="L22" s="262"/>
      <c r="M22" s="262"/>
      <c r="N22" s="262"/>
    </row>
    <row r="23" spans="1:14" ht="36" customHeight="1" x14ac:dyDescent="0.25">
      <c r="B23" s="120">
        <f>B18-B20</f>
        <v>81454.545454545412</v>
      </c>
      <c r="C23" s="262" t="s">
        <v>67</v>
      </c>
      <c r="D23" s="262"/>
      <c r="E23" s="262"/>
      <c r="F23" s="262"/>
      <c r="G23" s="262"/>
      <c r="H23" s="262"/>
      <c r="I23" s="262"/>
      <c r="J23" s="262"/>
      <c r="K23" s="262"/>
      <c r="L23" s="262"/>
      <c r="M23" s="262"/>
      <c r="N23" s="262"/>
    </row>
    <row r="24" spans="1:14" ht="36" customHeight="1" x14ac:dyDescent="0.25">
      <c r="B24" s="120">
        <v>84710</v>
      </c>
      <c r="C24" s="262" t="s">
        <v>68</v>
      </c>
      <c r="D24" s="262"/>
      <c r="E24" s="262"/>
      <c r="F24" s="262"/>
      <c r="G24" s="262"/>
      <c r="H24" s="262"/>
      <c r="I24" s="262"/>
      <c r="J24" s="262"/>
      <c r="K24" s="262"/>
      <c r="L24" s="262"/>
      <c r="M24" s="262"/>
      <c r="N24" s="262"/>
    </row>
    <row r="25" spans="1:14" ht="36" customHeight="1" x14ac:dyDescent="0.25">
      <c r="B25" s="120">
        <f>B23*B24/1000000</f>
        <v>6900.0145454545418</v>
      </c>
      <c r="C25" s="262" t="s">
        <v>69</v>
      </c>
      <c r="D25" s="262"/>
      <c r="E25" s="262"/>
      <c r="F25" s="262"/>
      <c r="G25" s="262"/>
      <c r="H25" s="262"/>
      <c r="I25" s="262"/>
      <c r="J25" s="262"/>
      <c r="K25" s="262"/>
      <c r="L25" s="262"/>
      <c r="M25" s="262"/>
      <c r="N25" s="262"/>
    </row>
    <row r="26" spans="1:14" ht="36" customHeight="1" x14ac:dyDescent="0.25">
      <c r="B26" s="122">
        <f>B22+B25</f>
        <v>95793.518545454557</v>
      </c>
      <c r="C26" s="265" t="s">
        <v>71</v>
      </c>
      <c r="D26" s="262"/>
      <c r="E26" s="262"/>
      <c r="F26" s="262"/>
      <c r="G26" s="262"/>
      <c r="H26" s="262"/>
      <c r="I26" s="262"/>
      <c r="J26" s="262"/>
      <c r="K26" s="262"/>
      <c r="L26" s="262"/>
      <c r="M26" s="262"/>
      <c r="N26" s="262"/>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4</v>
      </c>
      <c r="C32" s="261" t="s">
        <v>502</v>
      </c>
      <c r="D32" s="262"/>
      <c r="E32" s="262"/>
      <c r="F32" s="262"/>
      <c r="G32" s="262"/>
      <c r="H32" s="262"/>
      <c r="I32" s="262"/>
      <c r="J32" s="262"/>
      <c r="K32" s="262"/>
      <c r="L32" s="262"/>
      <c r="M32" s="262"/>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3" t="s">
        <v>78</v>
      </c>
      <c r="D34" s="263"/>
      <c r="E34" s="263"/>
      <c r="F34" s="263"/>
      <c r="G34" s="263"/>
      <c r="H34" s="263"/>
      <c r="I34" s="263"/>
      <c r="J34" s="263"/>
      <c r="K34" s="263"/>
      <c r="L34" s="263"/>
      <c r="M34" s="263"/>
      <c r="N34" s="263"/>
    </row>
    <row r="35" spans="2:14" ht="36" customHeight="1" x14ac:dyDescent="0.25">
      <c r="B35" s="120">
        <v>3</v>
      </c>
      <c r="C35" s="263" t="s">
        <v>74</v>
      </c>
      <c r="D35" s="263"/>
      <c r="E35" s="263"/>
      <c r="F35" s="263"/>
      <c r="G35" s="263"/>
      <c r="H35" s="263"/>
      <c r="I35" s="263"/>
      <c r="J35" s="263"/>
      <c r="K35" s="263"/>
      <c r="L35" s="263"/>
      <c r="M35" s="263"/>
      <c r="N35" s="263"/>
    </row>
    <row r="36" spans="2:14" ht="36" customHeight="1" x14ac:dyDescent="0.25">
      <c r="B36" s="120">
        <f>B32*B34/B35</f>
        <v>9333.3333333333339</v>
      </c>
      <c r="C36" s="263" t="s">
        <v>72</v>
      </c>
      <c r="D36" s="263"/>
      <c r="E36" s="263"/>
      <c r="F36" s="263"/>
      <c r="G36" s="263"/>
      <c r="H36" s="263"/>
      <c r="I36" s="263"/>
      <c r="J36" s="263"/>
      <c r="K36" s="263"/>
      <c r="L36" s="263"/>
      <c r="M36" s="263"/>
      <c r="N36" s="263"/>
    </row>
    <row r="37" spans="2:14" ht="36" customHeight="1" x14ac:dyDescent="0.25">
      <c r="B37" s="120">
        <v>3412</v>
      </c>
      <c r="C37" s="263" t="s">
        <v>176</v>
      </c>
      <c r="D37" s="263"/>
      <c r="E37" s="263"/>
      <c r="F37" s="263"/>
      <c r="G37" s="263"/>
      <c r="H37" s="263"/>
      <c r="I37" s="263"/>
      <c r="J37" s="263"/>
      <c r="K37" s="263"/>
      <c r="L37" s="263"/>
      <c r="M37" s="263"/>
      <c r="N37" s="263"/>
    </row>
    <row r="38" spans="2:14" ht="36" customHeight="1" x14ac:dyDescent="0.25">
      <c r="B38" s="122">
        <f>B36*B37/1000000</f>
        <v>31.845333333333336</v>
      </c>
      <c r="C38" s="264" t="s">
        <v>75</v>
      </c>
      <c r="D38" s="263"/>
      <c r="E38" s="263"/>
      <c r="F38" s="263"/>
      <c r="G38" s="263"/>
      <c r="H38" s="263"/>
      <c r="I38" s="263"/>
      <c r="J38" s="263"/>
      <c r="K38" s="263"/>
      <c r="L38" s="263"/>
      <c r="M38" s="263"/>
      <c r="N38" s="263"/>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topLeftCell="A30"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110117.99450060698</v>
      </c>
      <c r="C4" s="265" t="s">
        <v>91</v>
      </c>
      <c r="D4" s="262"/>
      <c r="E4" s="262"/>
      <c r="F4" s="262"/>
      <c r="G4" s="262"/>
      <c r="H4" s="262"/>
      <c r="I4" s="262"/>
      <c r="J4" s="262"/>
      <c r="K4" s="262"/>
      <c r="L4" s="262"/>
      <c r="M4" s="262"/>
      <c r="N4" s="262"/>
    </row>
    <row r="5" spans="1:15" x14ac:dyDescent="0.25">
      <c r="A5" s="56"/>
      <c r="B5" s="54"/>
    </row>
    <row r="6" spans="1:15" ht="18.75" x14ac:dyDescent="0.3">
      <c r="B6" s="54"/>
      <c r="C6" s="51" t="s">
        <v>80</v>
      </c>
    </row>
    <row r="7" spans="1:15" x14ac:dyDescent="0.25">
      <c r="B7" s="54"/>
      <c r="C7" s="25"/>
    </row>
    <row r="8" spans="1:15" ht="42.75" customHeight="1" x14ac:dyDescent="0.25">
      <c r="A8" s="54">
        <v>1</v>
      </c>
      <c r="B8" s="36">
        <v>618</v>
      </c>
      <c r="C8" s="271" t="s">
        <v>79</v>
      </c>
      <c r="D8" s="263"/>
      <c r="E8" s="263"/>
      <c r="F8" s="263"/>
      <c r="G8" s="263"/>
      <c r="H8" s="263"/>
      <c r="I8" s="263"/>
      <c r="J8" s="263"/>
      <c r="K8" s="263"/>
      <c r="L8" s="263"/>
      <c r="M8" s="263"/>
      <c r="N8" s="263"/>
    </row>
    <row r="9" spans="1:15" ht="42.75" customHeight="1" x14ac:dyDescent="0.25">
      <c r="B9" s="56"/>
      <c r="C9" s="26"/>
      <c r="D9" s="57" t="s">
        <v>92</v>
      </c>
      <c r="E9" s="270" t="s">
        <v>64</v>
      </c>
      <c r="F9" s="270"/>
      <c r="G9" s="263" t="s">
        <v>81</v>
      </c>
      <c r="H9" s="263"/>
      <c r="I9" s="263"/>
      <c r="J9" s="263"/>
      <c r="K9" s="263"/>
      <c r="L9" s="263"/>
      <c r="M9" s="263"/>
      <c r="N9" s="263"/>
    </row>
    <row r="10" spans="1:15" ht="52.5" customHeight="1" x14ac:dyDescent="0.25">
      <c r="A10" s="54">
        <v>2</v>
      </c>
      <c r="B10" s="36">
        <v>152.68</v>
      </c>
      <c r="C10" s="275" t="s">
        <v>543</v>
      </c>
      <c r="D10" s="272"/>
      <c r="E10" s="272"/>
      <c r="F10" s="272"/>
      <c r="G10" s="272"/>
      <c r="H10" s="272"/>
      <c r="I10" s="272"/>
      <c r="J10" s="272"/>
      <c r="K10" s="272"/>
      <c r="L10" s="272"/>
      <c r="M10" s="272"/>
      <c r="N10" s="272"/>
      <c r="O10" s="212">
        <f>SUM('2.Heat Targets'!E58,'2.Heat Targets'!E61,'2.Heat Targets'!E64,'2.Heat Targets'!E67)</f>
        <v>0.66526946365802542</v>
      </c>
    </row>
    <row r="11" spans="1:15" ht="42.75" customHeight="1" x14ac:dyDescent="0.25">
      <c r="B11" s="54"/>
      <c r="C11" s="59"/>
      <c r="D11" s="33" t="s">
        <v>58</v>
      </c>
      <c r="E11" s="272" t="s">
        <v>86</v>
      </c>
      <c r="F11" s="272"/>
      <c r="G11" s="272"/>
      <c r="H11" s="272"/>
      <c r="I11" s="272"/>
      <c r="J11" s="272"/>
      <c r="K11" s="272"/>
      <c r="L11" s="272"/>
      <c r="M11" s="272"/>
      <c r="N11" s="272"/>
    </row>
    <row r="12" spans="1:15" ht="42.75" customHeight="1" x14ac:dyDescent="0.25">
      <c r="B12" s="56"/>
      <c r="C12" s="60"/>
      <c r="D12" s="34">
        <v>0.26</v>
      </c>
      <c r="E12" s="272" t="s">
        <v>83</v>
      </c>
      <c r="F12" s="272"/>
      <c r="G12" s="272"/>
      <c r="H12" s="272"/>
      <c r="I12" s="272"/>
      <c r="J12" s="272"/>
      <c r="K12" s="272"/>
      <c r="L12" s="272"/>
      <c r="M12" s="272"/>
      <c r="N12" s="272"/>
    </row>
    <row r="13" spans="1:15" ht="42.75" customHeight="1" x14ac:dyDescent="0.25">
      <c r="B13" s="56"/>
      <c r="C13" s="60"/>
      <c r="D13" s="34">
        <v>0.5</v>
      </c>
      <c r="E13" s="272" t="s">
        <v>84</v>
      </c>
      <c r="F13" s="272"/>
      <c r="G13" s="272"/>
      <c r="H13" s="272"/>
      <c r="I13" s="272"/>
      <c r="J13" s="272"/>
      <c r="K13" s="272"/>
      <c r="L13" s="272"/>
      <c r="M13" s="272"/>
      <c r="N13" s="272"/>
    </row>
    <row r="14" spans="1:15" ht="42.75" customHeight="1" x14ac:dyDescent="0.25">
      <c r="B14" s="56"/>
      <c r="C14" s="60"/>
      <c r="D14" s="34">
        <v>0.2</v>
      </c>
      <c r="E14" s="272" t="s">
        <v>85</v>
      </c>
      <c r="F14" s="272"/>
      <c r="G14" s="272"/>
      <c r="H14" s="272"/>
      <c r="I14" s="272"/>
      <c r="J14" s="272"/>
      <c r="K14" s="272"/>
      <c r="L14" s="272"/>
      <c r="M14" s="272"/>
      <c r="N14" s="272"/>
    </row>
    <row r="15" spans="1:15" ht="42.75" customHeight="1" x14ac:dyDescent="0.25">
      <c r="B15" s="56"/>
      <c r="C15" s="60"/>
      <c r="D15" s="35">
        <v>2.2999999999999998</v>
      </c>
      <c r="E15" s="272" t="s">
        <v>87</v>
      </c>
      <c r="F15" s="272"/>
      <c r="G15" s="272"/>
      <c r="H15" s="272"/>
      <c r="I15" s="272"/>
      <c r="J15" s="272"/>
      <c r="K15" s="272"/>
      <c r="L15" s="272"/>
      <c r="M15" s="272"/>
      <c r="N15" s="272"/>
    </row>
    <row r="16" spans="1:15" ht="42.75" customHeight="1" x14ac:dyDescent="0.25">
      <c r="B16" s="56"/>
      <c r="C16" s="60"/>
      <c r="D16" s="34">
        <f>(20000*1.25)/257000</f>
        <v>9.727626459143969E-2</v>
      </c>
      <c r="E16" s="272" t="s">
        <v>93</v>
      </c>
      <c r="F16" s="272"/>
      <c r="G16" s="272"/>
      <c r="H16" s="272"/>
      <c r="I16" s="272"/>
      <c r="J16" s="272"/>
      <c r="K16" s="272"/>
      <c r="L16" s="272"/>
      <c r="M16" s="272"/>
      <c r="N16" s="272"/>
    </row>
    <row r="17" spans="1:17" x14ac:dyDescent="0.25">
      <c r="B17" s="56"/>
      <c r="C17" s="27"/>
      <c r="F17" s="26"/>
      <c r="G17" s="27"/>
      <c r="H17" s="27"/>
      <c r="I17" s="27"/>
      <c r="J17" s="27"/>
      <c r="K17" s="27"/>
      <c r="L17" s="27"/>
    </row>
    <row r="18" spans="1:17" ht="42.75" customHeight="1" x14ac:dyDescent="0.25">
      <c r="B18" s="55">
        <f>B8*B10</f>
        <v>94356.24</v>
      </c>
      <c r="C18" s="264" t="s">
        <v>90</v>
      </c>
      <c r="D18" s="263"/>
      <c r="E18" s="263"/>
      <c r="F18" s="263"/>
      <c r="G18" s="263"/>
      <c r="H18" s="263"/>
      <c r="I18" s="263"/>
      <c r="J18" s="263"/>
      <c r="K18" s="263"/>
      <c r="L18" s="263"/>
      <c r="M18" s="263"/>
      <c r="N18" s="263"/>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18</v>
      </c>
      <c r="C22" s="266" t="s">
        <v>540</v>
      </c>
      <c r="D22" s="262"/>
      <c r="E22" s="262"/>
      <c r="F22" s="262"/>
      <c r="G22" s="262"/>
      <c r="H22" s="262"/>
      <c r="I22" s="262"/>
      <c r="J22" s="262"/>
      <c r="K22" s="262"/>
      <c r="L22" s="262"/>
      <c r="M22" s="262"/>
      <c r="N22" s="262"/>
    </row>
    <row r="23" spans="1:17" s="58" customFormat="1" ht="32.25" customHeight="1" x14ac:dyDescent="0.25">
      <c r="A23" s="54"/>
      <c r="B23" s="54"/>
      <c r="D23" s="58" t="s">
        <v>60</v>
      </c>
      <c r="E23" s="28" t="s">
        <v>88</v>
      </c>
      <c r="G23" s="58" t="s">
        <v>89</v>
      </c>
    </row>
    <row r="24" spans="1:17" ht="78" customHeight="1" x14ac:dyDescent="0.25">
      <c r="A24" s="54">
        <v>2</v>
      </c>
      <c r="B24" s="36">
        <f ca="1">L41</f>
        <v>875.65302781149865</v>
      </c>
      <c r="C24" s="268" t="s">
        <v>541</v>
      </c>
      <c r="D24" s="269"/>
      <c r="E24" s="269"/>
      <c r="F24" s="269"/>
      <c r="G24" s="269"/>
      <c r="H24" s="269"/>
      <c r="I24" s="269"/>
      <c r="J24" s="269"/>
      <c r="K24" s="269"/>
      <c r="L24" s="269"/>
      <c r="M24" s="269"/>
      <c r="N24" s="269"/>
      <c r="O24" s="212">
        <f ca="1">SUM('2.Heat Targets'!E76,'2.Heat Targets'!E79,'2.Heat Targets'!E82,'2.Heat Targets'!E85)</f>
        <v>0.5598289328149233</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1</v>
      </c>
      <c r="L27" s="39">
        <f t="shared" ref="L27:L40" ca="1" si="1">IF(K27="","",K27/$K$41)</f>
        <v>5.5555555555555552E-2</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5</v>
      </c>
      <c r="L28" s="41">
        <f t="shared" ca="1" si="1"/>
        <v>0.27777777777777779</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3</v>
      </c>
      <c r="L29" s="41">
        <f t="shared" ca="1" si="1"/>
        <v>0.16666666666666666</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1</v>
      </c>
      <c r="L30" s="41">
        <f t="shared" ca="1" si="1"/>
        <v>5.5555555555555552E-2</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1</v>
      </c>
      <c r="L32" s="41">
        <f t="shared" ca="1" si="1"/>
        <v>5.5555555555555552E-2</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3</v>
      </c>
      <c r="L33" s="41">
        <f t="shared" ca="1" si="1"/>
        <v>0.16666666666666666</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0</v>
      </c>
      <c r="L35" s="41">
        <f t="shared" ca="1" si="1"/>
        <v>0</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5.5555555555555552E-2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1</v>
      </c>
      <c r="L37" s="41">
        <f t="shared" ca="1" si="1"/>
        <v>5.5555555555555552E-2</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1</v>
      </c>
      <c r="L39" s="41">
        <f t="shared" ca="1" si="1"/>
        <v>5.5555555555555552E-2</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1</v>
      </c>
      <c r="L40" s="41">
        <f t="shared" ca="1" si="1"/>
        <v>5.5555555555555552E-2</v>
      </c>
      <c r="Q40" s="23"/>
    </row>
    <row r="41" spans="2:19" ht="33" customHeight="1" x14ac:dyDescent="0.25">
      <c r="B41" s="54"/>
      <c r="D41" s="42"/>
      <c r="E41" s="185">
        <f>SUM(E27:E40)</f>
        <v>18617</v>
      </c>
      <c r="F41" s="185"/>
      <c r="G41" s="185">
        <f>SUM(G27:G40)</f>
        <v>201453</v>
      </c>
      <c r="H41" s="43"/>
      <c r="I41" s="44">
        <v>13000000</v>
      </c>
      <c r="J41" s="43"/>
      <c r="K41" s="185">
        <f ca="1">SUM(K27:K40)</f>
        <v>18</v>
      </c>
      <c r="L41" s="45">
        <f ca="1">SUMPRODUCT(J27:J40,L27:L40)</f>
        <v>875.65302781149865</v>
      </c>
      <c r="M41" s="273" t="s">
        <v>542</v>
      </c>
      <c r="N41" s="274"/>
      <c r="O41" s="274"/>
      <c r="P41" s="274"/>
      <c r="Q41" s="274"/>
      <c r="R41" s="274"/>
      <c r="S41" s="274"/>
    </row>
    <row r="42" spans="2:19" ht="22.5" customHeight="1" x14ac:dyDescent="0.25">
      <c r="B42" s="54"/>
    </row>
    <row r="43" spans="2:19" ht="37.5" customHeight="1" x14ac:dyDescent="0.25">
      <c r="B43" s="55">
        <f ca="1">B22*B24</f>
        <v>15761.754500606976</v>
      </c>
      <c r="C43" s="264" t="s">
        <v>488</v>
      </c>
      <c r="D43" s="263"/>
      <c r="E43" s="263"/>
      <c r="F43" s="263"/>
      <c r="G43" s="263"/>
      <c r="H43" s="263"/>
      <c r="I43" s="263"/>
      <c r="J43" s="263"/>
      <c r="K43" s="263"/>
      <c r="L43" s="263"/>
      <c r="M43" s="263"/>
      <c r="N43" s="263"/>
    </row>
    <row r="45" spans="2:19" ht="37.5" customHeight="1" x14ac:dyDescent="0.25">
      <c r="B45" s="194">
        <f ca="1">SUMPRODUCT(K27:K40,H27:H40)/SUMPRODUCT(E27:E40,H27:H40)</f>
        <v>1.0023443677527354E-3</v>
      </c>
      <c r="C45" s="262" t="s">
        <v>489</v>
      </c>
      <c r="D45" s="262"/>
      <c r="E45" s="262"/>
      <c r="F45" s="262"/>
      <c r="G45" s="262"/>
      <c r="H45" s="262"/>
      <c r="I45" s="262"/>
      <c r="J45" s="262"/>
      <c r="K45" s="262"/>
      <c r="L45" s="262"/>
      <c r="M45" s="262"/>
      <c r="N45" s="262"/>
      <c r="O45" s="262"/>
    </row>
    <row r="52" spans="4:4" x14ac:dyDescent="0.25">
      <c r="D52" s="23"/>
    </row>
  </sheetData>
  <mergeCells count="17">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abSelected="1" topLeftCell="A15" zoomScale="70" zoomScaleNormal="70" workbookViewId="0">
      <selection activeCell="R31" sqref="R31"/>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4" t="s">
        <v>491</v>
      </c>
      <c r="C4" s="285"/>
      <c r="D4" s="285"/>
      <c r="E4" s="285"/>
      <c r="F4" s="285"/>
      <c r="G4" s="285"/>
      <c r="H4" s="285"/>
      <c r="I4" s="285"/>
      <c r="J4" s="285"/>
      <c r="K4" s="285"/>
      <c r="L4" s="285"/>
      <c r="M4" s="285"/>
      <c r="N4" s="286"/>
    </row>
    <row r="5" spans="2:15" ht="19.5" customHeight="1" x14ac:dyDescent="0.25">
      <c r="B5" s="287"/>
      <c r="C5" s="288"/>
      <c r="D5" s="288"/>
      <c r="E5" s="288"/>
      <c r="F5" s="288"/>
      <c r="G5" s="288"/>
      <c r="H5" s="288"/>
      <c r="I5" s="288"/>
      <c r="J5" s="288"/>
      <c r="K5" s="288"/>
      <c r="L5" s="288"/>
      <c r="M5" s="288"/>
      <c r="N5" s="289"/>
    </row>
    <row r="6" spans="2:15" ht="19.5" customHeight="1" x14ac:dyDescent="0.25">
      <c r="B6" s="290"/>
      <c r="C6" s="291"/>
      <c r="D6" s="291"/>
      <c r="E6" s="291"/>
      <c r="F6" s="291"/>
      <c r="G6" s="291"/>
      <c r="H6" s="291"/>
      <c r="I6" s="291"/>
      <c r="J6" s="291"/>
      <c r="K6" s="291"/>
      <c r="L6" s="291"/>
      <c r="M6" s="291"/>
      <c r="N6" s="292"/>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3" t="s">
        <v>150</v>
      </c>
      <c r="N11" s="294"/>
      <c r="O11" s="295"/>
    </row>
    <row r="12" spans="2:15" x14ac:dyDescent="0.25">
      <c r="B12" s="1">
        <v>100</v>
      </c>
      <c r="C12" s="2" t="s">
        <v>99</v>
      </c>
      <c r="D12" s="2"/>
      <c r="E12" s="2"/>
      <c r="F12" s="2"/>
      <c r="G12" s="2"/>
      <c r="H12" s="2"/>
      <c r="I12" s="2"/>
      <c r="J12" s="2"/>
      <c r="K12" s="3"/>
      <c r="M12" s="296"/>
      <c r="N12" s="297"/>
      <c r="O12" s="298"/>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3" t="s">
        <v>168</v>
      </c>
      <c r="N14" s="294"/>
      <c r="O14" s="295"/>
    </row>
    <row r="15" spans="2:15" x14ac:dyDescent="0.25">
      <c r="B15" s="1">
        <v>100</v>
      </c>
      <c r="C15" s="114" t="s">
        <v>164</v>
      </c>
      <c r="D15" s="2"/>
      <c r="E15" s="2"/>
      <c r="F15" s="2"/>
      <c r="G15" s="2"/>
      <c r="H15" s="2"/>
      <c r="I15" s="2"/>
      <c r="J15" s="2"/>
      <c r="K15" s="3"/>
      <c r="M15" s="296"/>
      <c r="N15" s="297"/>
      <c r="O15" s="298"/>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3" t="s">
        <v>169</v>
      </c>
      <c r="N17" s="294"/>
      <c r="O17" s="295"/>
    </row>
    <row r="18" spans="2:18" x14ac:dyDescent="0.25">
      <c r="B18" s="1">
        <v>100</v>
      </c>
      <c r="C18" s="2" t="s">
        <v>161</v>
      </c>
      <c r="D18" s="2"/>
      <c r="E18" s="2"/>
      <c r="F18" s="2"/>
      <c r="G18" s="2"/>
      <c r="H18" s="2"/>
      <c r="I18" s="2"/>
      <c r="J18" s="2"/>
      <c r="K18" s="3"/>
      <c r="M18" s="296"/>
      <c r="N18" s="297"/>
      <c r="O18" s="298"/>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129974.82170542637</v>
      </c>
      <c r="C24" s="129">
        <f>'LEAP Region'!C14*1000</f>
        <v>108972.40310077518</v>
      </c>
      <c r="D24" s="129">
        <f>'LEAP Region'!D14*1000</f>
        <v>90039.56589147287</v>
      </c>
      <c r="E24" s="130">
        <f>'LEAP Region'!E14*1000</f>
        <v>61448.682170542648</v>
      </c>
      <c r="G24" s="277" t="s">
        <v>122</v>
      </c>
      <c r="H24" s="277"/>
      <c r="I24" s="277"/>
      <c r="J24" s="277"/>
      <c r="K24" s="277"/>
      <c r="L24" s="277"/>
      <c r="M24" s="277"/>
      <c r="N24" s="277"/>
    </row>
    <row r="25" spans="2:18" ht="56.25" customHeight="1" x14ac:dyDescent="0.25">
      <c r="B25" s="178">
        <f>('LEAP Region'!B7+'LEAP Region'!B8)*(2.4-1)*1000</f>
        <v>1037.3457364341086</v>
      </c>
      <c r="C25" s="179">
        <f>('LEAP Region'!C7+'LEAP Region'!C8)*(2.6-1)*1000</f>
        <v>5559.7643410852716</v>
      </c>
      <c r="D25" s="179">
        <f>('LEAP Region'!D7+'LEAP Region'!D8)*(2.8-1)*1000</f>
        <v>10945.786046511626</v>
      </c>
      <c r="E25" s="180">
        <f>('LEAP Region'!E7+'LEAP Region'!E8)*(2.3-1)*1000</f>
        <v>11725.072868217052</v>
      </c>
      <c r="G25" s="277" t="s">
        <v>178</v>
      </c>
      <c r="H25" s="277"/>
      <c r="I25" s="277"/>
      <c r="J25" s="277"/>
      <c r="K25" s="277"/>
      <c r="L25" s="277"/>
      <c r="M25" s="277"/>
      <c r="N25" s="277"/>
    </row>
    <row r="26" spans="2:18" ht="56.25" customHeight="1" x14ac:dyDescent="0.25">
      <c r="B26" s="128">
        <f>'LEAP Region'!H14*1000</f>
        <v>126627.72093023258</v>
      </c>
      <c r="C26" s="129">
        <f>'LEAP Region'!I14*1000</f>
        <v>103376.86821705426</v>
      </c>
      <c r="D26" s="129">
        <f>'LEAP Region'!J14*1000</f>
        <v>78184.186046511633</v>
      </c>
      <c r="E26" s="130">
        <f>'LEAP Region'!K14*1000</f>
        <v>44048.86821705426</v>
      </c>
      <c r="G26" s="277" t="s">
        <v>123</v>
      </c>
      <c r="H26" s="277"/>
      <c r="I26" s="277"/>
      <c r="J26" s="277"/>
      <c r="K26" s="277"/>
      <c r="L26" s="277"/>
      <c r="M26" s="277"/>
      <c r="N26" s="277"/>
    </row>
    <row r="27" spans="2:18" ht="56.25" customHeight="1" thickBot="1" x14ac:dyDescent="0.3">
      <c r="B27" s="181">
        <f>('LEAP Region'!H7+'LEAP Region'!H8)*(2.4-1)*1000</f>
        <v>1395.0511627906976</v>
      </c>
      <c r="C27" s="182">
        <f>('LEAP Region'!I7+'LEAP Region'!I8)*(2.6-1)*1000</f>
        <v>6377.3767441860473</v>
      </c>
      <c r="D27" s="182">
        <f>('LEAP Region'!J7+'LEAP Region'!J8)*(2.8-1)*1000</f>
        <v>14487.069767441857</v>
      </c>
      <c r="E27" s="183">
        <f>('LEAP Region'!K7+'LEAP Region'!K8)*(3-1)*1000</f>
        <v>20235.906976744187</v>
      </c>
      <c r="G27" s="277" t="s">
        <v>178</v>
      </c>
      <c r="H27" s="277"/>
      <c r="I27" s="277"/>
      <c r="J27" s="277"/>
      <c r="K27" s="277"/>
      <c r="L27" s="277"/>
      <c r="M27" s="277"/>
      <c r="N27" s="277"/>
    </row>
    <row r="28" spans="2:18" ht="56.25" customHeight="1" thickTop="1" x14ac:dyDescent="0.25">
      <c r="B28" s="128">
        <f>B24+B25-B26-B27</f>
        <v>2989.3953488372049</v>
      </c>
      <c r="C28" s="129">
        <f>C24+C25-C26-C27</f>
        <v>4777.9224806201455</v>
      </c>
      <c r="D28" s="129">
        <f>D24+D25-D26-D27</f>
        <v>8314.0961240310044</v>
      </c>
      <c r="E28" s="130">
        <f>E24+E25-E26-E27</f>
        <v>8888.9798449612535</v>
      </c>
      <c r="G28" s="277" t="s">
        <v>177</v>
      </c>
      <c r="H28" s="277"/>
      <c r="I28" s="277"/>
      <c r="J28" s="277"/>
      <c r="K28" s="277"/>
      <c r="L28" s="277"/>
      <c r="M28" s="277"/>
      <c r="N28" s="277"/>
    </row>
    <row r="29" spans="2:18" ht="56.25" customHeight="1" x14ac:dyDescent="0.25">
      <c r="B29" s="278">
        <f>0.25*'1.Current Heat'!B10</f>
        <v>38.17</v>
      </c>
      <c r="C29" s="279"/>
      <c r="D29" s="279"/>
      <c r="E29" s="280"/>
      <c r="G29" s="277" t="s">
        <v>124</v>
      </c>
      <c r="H29" s="277"/>
      <c r="I29" s="277"/>
      <c r="J29" s="277"/>
      <c r="K29" s="277"/>
      <c r="L29" s="277"/>
      <c r="M29" s="277"/>
      <c r="N29" s="277"/>
      <c r="R29">
        <v>60</v>
      </c>
    </row>
    <row r="30" spans="2:18" ht="56.25" customHeight="1" x14ac:dyDescent="0.25">
      <c r="B30" s="128">
        <f>B28/$B$29</f>
        <v>78.317928971370307</v>
      </c>
      <c r="C30" s="129">
        <f>C28/$B$29</f>
        <v>125.17480955253197</v>
      </c>
      <c r="D30" s="129">
        <f>D28/$B$29</f>
        <v>217.81755630157201</v>
      </c>
      <c r="E30" s="130">
        <f>E28/$B$29</f>
        <v>232.87869648837446</v>
      </c>
      <c r="G30" s="277" t="s">
        <v>125</v>
      </c>
      <c r="H30" s="277"/>
      <c r="I30" s="277"/>
      <c r="J30" s="277"/>
      <c r="K30" s="277"/>
      <c r="L30" s="277"/>
      <c r="M30" s="277"/>
      <c r="N30" s="277"/>
      <c r="R30">
        <v>96</v>
      </c>
    </row>
    <row r="31" spans="2:18" ht="56.25" customHeight="1" x14ac:dyDescent="0.25">
      <c r="B31" s="131">
        <f>'1.Current Heat'!B8</f>
        <v>618</v>
      </c>
      <c r="C31" s="132">
        <f t="shared" ref="C31:E31" si="0">B31*1.06</f>
        <v>655.08000000000004</v>
      </c>
      <c r="D31" s="132">
        <f t="shared" si="0"/>
        <v>694.38480000000004</v>
      </c>
      <c r="E31" s="133">
        <f t="shared" si="0"/>
        <v>736.04788800000006</v>
      </c>
      <c r="G31" s="277" t="s">
        <v>126</v>
      </c>
      <c r="H31" s="277"/>
      <c r="I31" s="277"/>
      <c r="J31" s="277"/>
      <c r="K31" s="277"/>
      <c r="L31" s="277"/>
      <c r="M31" s="277"/>
      <c r="N31" s="277"/>
      <c r="O31" s="186">
        <f>(E31/B31)^(1/(E23-B23))-1</f>
        <v>5.006971033976404E-3</v>
      </c>
      <c r="R31">
        <f>R29+R30</f>
        <v>156</v>
      </c>
    </row>
    <row r="32" spans="2:18" ht="56.25" customHeight="1" x14ac:dyDescent="0.25">
      <c r="B32" s="134">
        <f>B30/B31</f>
        <v>0.12672804040674807</v>
      </c>
      <c r="C32" s="135">
        <f>C30/C31</f>
        <v>0.19108324105839281</v>
      </c>
      <c r="D32" s="135">
        <f>D30/D31</f>
        <v>0.31368422278479025</v>
      </c>
      <c r="E32" s="136">
        <f>E30/E31</f>
        <v>0.31639068637389317</v>
      </c>
      <c r="G32" s="277" t="s">
        <v>183</v>
      </c>
      <c r="H32" s="277"/>
      <c r="I32" s="277"/>
      <c r="J32" s="277"/>
      <c r="K32" s="277"/>
      <c r="L32" s="277"/>
      <c r="M32" s="277"/>
      <c r="N32" s="277"/>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11115.83276216587</v>
      </c>
      <c r="C37" s="129">
        <f>('LEAP Region'!O11-'LEAP Region'!O6)*1000</f>
        <v>10572.995202193286</v>
      </c>
      <c r="D37" s="129">
        <f>('LEAP Region'!P11-'LEAP Region'!P6)*1000</f>
        <v>9783.4132967786172</v>
      </c>
      <c r="E37" s="130">
        <f>('LEAP Region'!Q11-'LEAP Region'!Q6)*1000</f>
        <v>8685.4009595613425</v>
      </c>
      <c r="G37" s="277" t="s">
        <v>179</v>
      </c>
      <c r="H37" s="277"/>
      <c r="I37" s="277"/>
      <c r="J37" s="277"/>
      <c r="K37" s="277"/>
      <c r="L37" s="277"/>
      <c r="M37" s="277"/>
      <c r="N37" s="277"/>
    </row>
    <row r="38" spans="2:34" ht="56.25" customHeight="1" x14ac:dyDescent="0.25">
      <c r="B38" s="128">
        <f>'LEAP Region'!N6*1000</f>
        <v>9302.2618231665529</v>
      </c>
      <c r="C38" s="129">
        <f>'LEAP Region'!O6*1000</f>
        <v>9894.4482522275557</v>
      </c>
      <c r="D38" s="129">
        <f>'LEAP Region'!P6*1000</f>
        <v>10326.2508567512</v>
      </c>
      <c r="E38" s="130">
        <f>'LEAP Region'!Q6*1000</f>
        <v>11239.20493488691</v>
      </c>
      <c r="F38" s="184"/>
      <c r="G38" s="277" t="s">
        <v>97</v>
      </c>
      <c r="H38" s="277"/>
      <c r="I38" s="277"/>
      <c r="J38" s="277"/>
      <c r="K38" s="277"/>
      <c r="L38" s="277"/>
      <c r="M38" s="277"/>
      <c r="N38" s="277"/>
    </row>
    <row r="39" spans="2:34" ht="56.25" customHeight="1" x14ac:dyDescent="0.25">
      <c r="B39" s="128">
        <f>0.005*B38</f>
        <v>46.511309115832766</v>
      </c>
      <c r="C39" s="129">
        <f>B39-(($B$39-$E$39)/3)</f>
        <v>218.32762165867032</v>
      </c>
      <c r="D39" s="129">
        <f>C39-(($B$39-$E$39)/3)</f>
        <v>390.14393420150788</v>
      </c>
      <c r="E39" s="130">
        <f>0.05*E38</f>
        <v>561.96024674434545</v>
      </c>
      <c r="G39" s="277" t="s">
        <v>195</v>
      </c>
      <c r="H39" s="277"/>
      <c r="I39" s="277"/>
      <c r="J39" s="277"/>
      <c r="K39" s="277"/>
      <c r="L39" s="277"/>
      <c r="M39" s="277"/>
      <c r="N39" s="277"/>
      <c r="V39" s="21"/>
      <c r="W39" s="21"/>
      <c r="X39" s="21"/>
      <c r="Y39" s="21"/>
      <c r="AH39" s="21"/>
    </row>
    <row r="40" spans="2:34" ht="56.25" customHeight="1" x14ac:dyDescent="0.25">
      <c r="B40" s="142">
        <f>B39*(2.4-1)</f>
        <v>65.115832762165866</v>
      </c>
      <c r="C40" s="143">
        <f>C39*(2.6-1)</f>
        <v>349.32419465387255</v>
      </c>
      <c r="D40" s="143">
        <f>D39*(2.8-1)</f>
        <v>702.25908156271407</v>
      </c>
      <c r="E40" s="144">
        <f>E39*(3-1)</f>
        <v>1123.9204934886909</v>
      </c>
      <c r="G40" s="277" t="s">
        <v>196</v>
      </c>
      <c r="H40" s="277"/>
      <c r="I40" s="277"/>
      <c r="J40" s="277"/>
      <c r="K40" s="277"/>
      <c r="L40" s="277"/>
      <c r="M40" s="277"/>
      <c r="N40" s="277"/>
      <c r="V40" s="21"/>
      <c r="W40" s="21"/>
      <c r="X40" s="21"/>
      <c r="Y40" s="21"/>
      <c r="AH40" s="21"/>
    </row>
    <row r="41" spans="2:34" ht="56.25" customHeight="1" x14ac:dyDescent="0.25">
      <c r="B41" s="128">
        <f>('LEAP Region'!T11-'LEAP Region'!T6)*1000</f>
        <v>11078.821110349554</v>
      </c>
      <c r="C41" s="129">
        <f>('LEAP Region'!U11-'LEAP Region'!U6)*1000</f>
        <v>10301.576422206996</v>
      </c>
      <c r="D41" s="129">
        <f>('LEAP Region'!V11-'LEAP Region'!V6)*1000</f>
        <v>9265.2501713502425</v>
      </c>
      <c r="E41" s="130">
        <f>('LEAP Region'!W11-'LEAP Region'!W6)*1000</f>
        <v>7772.4468814256352</v>
      </c>
      <c r="G41" s="277" t="s">
        <v>197</v>
      </c>
      <c r="H41" s="277"/>
      <c r="I41" s="277"/>
      <c r="J41" s="277"/>
      <c r="K41" s="277"/>
      <c r="L41" s="277"/>
      <c r="M41" s="277"/>
      <c r="N41" s="277"/>
      <c r="AH41" s="21"/>
    </row>
    <row r="42" spans="2:34" ht="56.25" customHeight="1" x14ac:dyDescent="0.25">
      <c r="B42" s="128">
        <f>'LEAP Region'!T6*1000</f>
        <v>9178.8896504455115</v>
      </c>
      <c r="C42" s="129">
        <f>'LEAP Region'!U6*1000</f>
        <v>9092.5291295407824</v>
      </c>
      <c r="D42" s="129">
        <f>'LEAP Region'!V6*1000</f>
        <v>8808.7731322823856</v>
      </c>
      <c r="E42" s="130">
        <f>'LEAP Region'!W6*1000</f>
        <v>8537.3543522960936</v>
      </c>
      <c r="G42" s="277" t="s">
        <v>98</v>
      </c>
      <c r="H42" s="277"/>
      <c r="I42" s="277"/>
      <c r="J42" s="277"/>
      <c r="K42" s="277"/>
      <c r="L42" s="277"/>
      <c r="M42" s="277"/>
      <c r="N42" s="277"/>
      <c r="V42" s="29"/>
      <c r="W42" s="29"/>
      <c r="X42" s="29"/>
      <c r="Y42" s="29"/>
      <c r="AH42" s="21"/>
    </row>
    <row r="43" spans="2:34" ht="56.25" customHeight="1" x14ac:dyDescent="0.25">
      <c r="B43" s="128">
        <f>B39</f>
        <v>46.511309115832766</v>
      </c>
      <c r="C43" s="129">
        <f>B43-(($B$43-$E$43)/3)</f>
        <v>262.01507882111019</v>
      </c>
      <c r="D43" s="129">
        <f>C43-(($B$43-$E$43)/3)</f>
        <v>477.51884852638761</v>
      </c>
      <c r="E43" s="130">
        <f>0.8*((E37+E39+E40-E41)/3)</f>
        <v>693.02261823166509</v>
      </c>
      <c r="G43" s="277" t="s">
        <v>142</v>
      </c>
      <c r="H43" s="277"/>
      <c r="I43" s="277"/>
      <c r="J43" s="277"/>
      <c r="K43" s="277"/>
      <c r="L43" s="277"/>
      <c r="M43" s="277"/>
      <c r="N43" s="277"/>
      <c r="AH43" s="21"/>
    </row>
    <row r="44" spans="2:34" ht="56.25" customHeight="1" x14ac:dyDescent="0.25">
      <c r="B44" s="128">
        <f>B43*(2.4-1)</f>
        <v>65.115832762165866</v>
      </c>
      <c r="C44" s="129">
        <f>C43*(2.6-1)</f>
        <v>419.22412611377632</v>
      </c>
      <c r="D44" s="129">
        <f>D43*(2.8-1)</f>
        <v>859.53392734749764</v>
      </c>
      <c r="E44" s="130">
        <f>E43*(3-1)</f>
        <v>1386.0452364633302</v>
      </c>
      <c r="F44" s="21"/>
      <c r="G44" s="277" t="s">
        <v>96</v>
      </c>
      <c r="H44" s="277"/>
      <c r="I44" s="277"/>
      <c r="J44" s="277"/>
      <c r="K44" s="277"/>
      <c r="L44" s="277"/>
      <c r="M44" s="277"/>
      <c r="N44" s="277"/>
      <c r="R44">
        <v>33</v>
      </c>
      <c r="V44" s="21"/>
      <c r="W44" s="21"/>
      <c r="X44" s="21"/>
      <c r="Y44" s="21"/>
      <c r="AH44" s="21"/>
    </row>
    <row r="45" spans="2:34" ht="56.25" customHeight="1" x14ac:dyDescent="0.25">
      <c r="B45" s="128">
        <f>B37+B39+B40-B41-B43-B44</f>
        <v>37.011651816315151</v>
      </c>
      <c r="C45" s="129">
        <f>C37+C39+C40-C41-C43-C44</f>
        <v>157.8313913639476</v>
      </c>
      <c r="D45" s="129">
        <f>D37+D39+D40-D41-D43-D44</f>
        <v>273.51336531871061</v>
      </c>
      <c r="E45" s="130">
        <f>E37+E39+E40-E41-E43-E44</f>
        <v>519.76696367374871</v>
      </c>
      <c r="F45" s="92"/>
      <c r="G45" s="277" t="s">
        <v>149</v>
      </c>
      <c r="H45" s="277"/>
      <c r="I45" s="277"/>
      <c r="J45" s="277"/>
      <c r="K45" s="277"/>
      <c r="L45" s="277"/>
      <c r="M45" s="277"/>
      <c r="N45" s="277"/>
      <c r="R45">
        <v>6</v>
      </c>
      <c r="AH45" s="21"/>
    </row>
    <row r="46" spans="2:34" ht="56.25" customHeight="1" x14ac:dyDescent="0.25">
      <c r="B46" s="281">
        <f ca="1">0.2*'1.Current Heat'!B24</f>
        <v>175.13060556229973</v>
      </c>
      <c r="C46" s="282"/>
      <c r="D46" s="282"/>
      <c r="E46" s="283"/>
      <c r="G46" s="277" t="s">
        <v>127</v>
      </c>
      <c r="H46" s="277"/>
      <c r="I46" s="277"/>
      <c r="J46" s="277"/>
      <c r="K46" s="277"/>
      <c r="L46" s="277"/>
      <c r="M46" s="277"/>
      <c r="N46" s="277"/>
      <c r="R46">
        <f>R45/R44</f>
        <v>0.18181818181818182</v>
      </c>
      <c r="AH46" s="21"/>
    </row>
    <row r="47" spans="2:34" ht="56.25" customHeight="1" x14ac:dyDescent="0.25">
      <c r="B47" s="128">
        <f ca="1">B45/$B$46</f>
        <v>0.21133742841509726</v>
      </c>
      <c r="C47" s="129">
        <f ca="1">C45/$B$46</f>
        <v>0.90122106788354461</v>
      </c>
      <c r="D47" s="129">
        <f ca="1">D45/$B$46</f>
        <v>1.5617679413631267</v>
      </c>
      <c r="E47" s="130">
        <f ca="1">E45/$B$46</f>
        <v>2.9678819530424705</v>
      </c>
      <c r="G47" s="277" t="s">
        <v>128</v>
      </c>
      <c r="H47" s="277"/>
      <c r="I47" s="277"/>
      <c r="J47" s="277"/>
      <c r="K47" s="277"/>
      <c r="L47" s="277"/>
      <c r="M47" s="277"/>
      <c r="N47" s="277"/>
    </row>
    <row r="48" spans="2:34" ht="56.25" customHeight="1" x14ac:dyDescent="0.25">
      <c r="B48" s="131">
        <f ca="1">'1.Current Heat'!B22</f>
        <v>18</v>
      </c>
      <c r="C48" s="132">
        <f t="shared" ref="C48:E48" ca="1" si="1">B48*1.06</f>
        <v>19.080000000000002</v>
      </c>
      <c r="D48" s="132">
        <f t="shared" ca="1" si="1"/>
        <v>20.224800000000002</v>
      </c>
      <c r="E48" s="133">
        <f t="shared" ca="1" si="1"/>
        <v>21.438288000000004</v>
      </c>
      <c r="G48" s="277" t="s">
        <v>194</v>
      </c>
      <c r="H48" s="277"/>
      <c r="I48" s="277"/>
      <c r="J48" s="277"/>
      <c r="K48" s="277"/>
      <c r="L48" s="277"/>
      <c r="M48" s="277"/>
      <c r="N48" s="277"/>
      <c r="O48" s="186">
        <f ca="1">(E48/B48)^(1/(E36-B36))-1</f>
        <v>5.006971033976404E-3</v>
      </c>
    </row>
    <row r="49" spans="1:14" ht="56.25" customHeight="1" x14ac:dyDescent="0.25">
      <c r="B49" s="134">
        <f ca="1">B47/B48</f>
        <v>1.174096824528318E-2</v>
      </c>
      <c r="C49" s="135">
        <f ca="1">C47/C48</f>
        <v>4.7233808589284304E-2</v>
      </c>
      <c r="D49" s="135">
        <f ca="1">D47/D48</f>
        <v>7.7220439330086155E-2</v>
      </c>
      <c r="E49" s="136">
        <f ca="1">E47/E48</f>
        <v>0.13843838430766814</v>
      </c>
      <c r="G49" s="277" t="s">
        <v>182</v>
      </c>
      <c r="H49" s="277"/>
      <c r="I49" s="277"/>
      <c r="J49" s="277"/>
      <c r="K49" s="277"/>
      <c r="L49" s="277"/>
      <c r="M49" s="277"/>
      <c r="N49" s="277"/>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152.68</v>
      </c>
      <c r="C54" s="147">
        <f>C32*($B$54-$B$29)+(1-C32)*$B$54</f>
        <v>145.38635268880114</v>
      </c>
      <c r="D54" s="147">
        <f>D32*($B$54-$B$29)+(1-D32)*$B$54</f>
        <v>140.70667321630455</v>
      </c>
      <c r="E54" s="148">
        <f>E32*($B$54-$B$29)+(1-E32)*$B$54</f>
        <v>140.60336750110849</v>
      </c>
      <c r="F54" s="1"/>
      <c r="G54" s="277" t="s">
        <v>109</v>
      </c>
      <c r="H54" s="277"/>
      <c r="I54" s="277"/>
      <c r="J54" s="277"/>
      <c r="K54" s="277"/>
      <c r="L54" s="277"/>
      <c r="M54" s="277"/>
      <c r="N54" s="277"/>
    </row>
    <row r="55" spans="1:14" ht="56.25" customHeight="1" x14ac:dyDescent="0.25">
      <c r="B55" s="149">
        <f>('LEAP Region'!H4+'LEAP Region'!H9+'LEAP Region'!H12)*1000</f>
        <v>46706.108527131786</v>
      </c>
      <c r="C55" s="150">
        <f>('LEAP Region'!I4+'LEAP Region'!I9+'LEAP Region'!I12)*1000</f>
        <v>33905.364341085275</v>
      </c>
      <c r="D55" s="150">
        <f>('LEAP Region'!J4+'LEAP Region'!J9+'LEAP Region'!J12)*1000</f>
        <v>21564.527131782947</v>
      </c>
      <c r="E55" s="151">
        <f>('LEAP Region'!K4+'LEAP Region'!K9+'LEAP Region'!K12)*1000</f>
        <v>3244.8992248062013</v>
      </c>
      <c r="G55" s="277" t="s">
        <v>110</v>
      </c>
      <c r="H55" s="277"/>
      <c r="I55" s="277"/>
      <c r="J55" s="277"/>
      <c r="K55" s="277"/>
      <c r="L55" s="277"/>
      <c r="M55" s="277"/>
      <c r="N55" s="277"/>
    </row>
    <row r="56" spans="1:14" ht="56.25" customHeight="1" x14ac:dyDescent="0.25">
      <c r="B56" s="152">
        <f>'LEAP Region'!H4*1000/'2.Heat Targets'!B55</f>
        <v>7.658643326039387E-3</v>
      </c>
      <c r="C56" s="153">
        <f>'LEAP Region'!I4*1000/'2.Heat Targets'!C55</f>
        <v>3.7678975131876409E-2</v>
      </c>
      <c r="D56" s="153">
        <f>'LEAP Region'!J4*1000/'2.Heat Targets'!D55</f>
        <v>9.7156398104265407E-2</v>
      </c>
      <c r="E56" s="154">
        <f>'LEAP Region'!K4*1000/'2.Heat Targets'!E55</f>
        <v>1</v>
      </c>
      <c r="G56" s="277" t="s">
        <v>137</v>
      </c>
      <c r="H56" s="277"/>
      <c r="I56" s="277"/>
      <c r="J56" s="277"/>
      <c r="K56" s="277"/>
      <c r="L56" s="277"/>
      <c r="M56" s="277"/>
      <c r="N56" s="277"/>
    </row>
    <row r="57" spans="1:14" ht="56.25" customHeight="1" x14ac:dyDescent="0.25">
      <c r="B57" s="128">
        <f>B55/B54</f>
        <v>305.9084917941563</v>
      </c>
      <c r="C57" s="129">
        <f>C55/C54</f>
        <v>233.20871398197573</v>
      </c>
      <c r="D57" s="129">
        <f>D55/D54</f>
        <v>153.25873776172921</v>
      </c>
      <c r="E57" s="130">
        <f>E55/E54</f>
        <v>23.078389106012125</v>
      </c>
      <c r="G57" s="277" t="s">
        <v>111</v>
      </c>
      <c r="H57" s="277"/>
      <c r="I57" s="277"/>
      <c r="J57" s="277"/>
      <c r="K57" s="277"/>
      <c r="L57" s="277"/>
      <c r="M57" s="277"/>
      <c r="N57" s="277"/>
    </row>
    <row r="58" spans="1:14" ht="56.25" customHeight="1" x14ac:dyDescent="0.25">
      <c r="B58" s="134">
        <f>B57/B31</f>
        <v>0.49499755953746977</v>
      </c>
      <c r="C58" s="135">
        <f>C57/C31</f>
        <v>0.35600035718076528</v>
      </c>
      <c r="D58" s="135">
        <f>D57/D31</f>
        <v>0.22071153884953876</v>
      </c>
      <c r="E58" s="136">
        <f>E57/E31</f>
        <v>3.1354466852314536E-2</v>
      </c>
      <c r="G58" s="277" t="s">
        <v>130</v>
      </c>
      <c r="H58" s="277"/>
      <c r="I58" s="277"/>
      <c r="J58" s="277"/>
      <c r="K58" s="277"/>
      <c r="L58" s="277"/>
      <c r="M58" s="277"/>
      <c r="N58" s="277"/>
    </row>
    <row r="59" spans="1:14" ht="56.25" customHeight="1" x14ac:dyDescent="0.25">
      <c r="B59" s="149">
        <f>('LEAP Region'!H5+'LEAP Region'!H13)*1000</f>
        <v>55572.093023255817</v>
      </c>
      <c r="C59" s="150">
        <f>('LEAP Region'!I5+'LEAP Region'!I13)*1000</f>
        <v>46578.35658914729</v>
      </c>
      <c r="D59" s="150">
        <f>('LEAP Region'!J5+'LEAP Region'!J13)*1000</f>
        <v>36920.310077519382</v>
      </c>
      <c r="E59" s="151">
        <f>('LEAP Region'!K5+'LEAP Region'!K13)*1000</f>
        <v>26725.705426356591</v>
      </c>
      <c r="G59" s="277" t="s">
        <v>112</v>
      </c>
      <c r="H59" s="277"/>
      <c r="I59" s="277"/>
      <c r="J59" s="277"/>
      <c r="K59" s="277"/>
      <c r="L59" s="277"/>
      <c r="M59" s="277"/>
      <c r="N59" s="277"/>
    </row>
    <row r="60" spans="1:14" ht="56.25" customHeight="1" x14ac:dyDescent="0.25">
      <c r="A60" s="2"/>
      <c r="B60" s="128">
        <f>B59/B54</f>
        <v>363.97755451438178</v>
      </c>
      <c r="C60" s="129">
        <f>C59/C54</f>
        <v>320.37640210184009</v>
      </c>
      <c r="D60" s="129">
        <f>D59/D54</f>
        <v>262.39203325319755</v>
      </c>
      <c r="E60" s="130">
        <f>E59/E54</f>
        <v>190.07870082589517</v>
      </c>
      <c r="G60" s="277" t="s">
        <v>140</v>
      </c>
      <c r="H60" s="277"/>
      <c r="I60" s="277"/>
      <c r="J60" s="277"/>
      <c r="K60" s="277"/>
      <c r="L60" s="277"/>
      <c r="M60" s="277"/>
      <c r="N60" s="277"/>
    </row>
    <row r="61" spans="1:14" ht="56.25" customHeight="1" x14ac:dyDescent="0.25">
      <c r="B61" s="134">
        <f>B60/B31</f>
        <v>0.58896044419802873</v>
      </c>
      <c r="C61" s="135">
        <f>C60/C31</f>
        <v>0.48906454494388479</v>
      </c>
      <c r="D61" s="135">
        <f>D60/D31</f>
        <v>0.37787698298291889</v>
      </c>
      <c r="E61" s="136">
        <f>E60/E31</f>
        <v>0.25824230179150404</v>
      </c>
      <c r="G61" s="277" t="s">
        <v>131</v>
      </c>
      <c r="H61" s="277"/>
      <c r="I61" s="277"/>
      <c r="J61" s="277"/>
      <c r="K61" s="277"/>
      <c r="L61" s="277"/>
      <c r="M61" s="277"/>
      <c r="N61" s="277"/>
    </row>
    <row r="62" spans="1:14" ht="56.25" customHeight="1" x14ac:dyDescent="0.25">
      <c r="B62" s="149">
        <f>('LEAP Region'!H7+'LEAP Region'!H8)*1000</f>
        <v>996.46511627906978</v>
      </c>
      <c r="C62" s="150">
        <f>('LEAP Region'!I7+'LEAP Region'!I8)*1000</f>
        <v>3985.8604651162791</v>
      </c>
      <c r="D62" s="150">
        <f>('LEAP Region'!J7+'LEAP Region'!J8)*1000</f>
        <v>8048.3720930232557</v>
      </c>
      <c r="E62" s="151">
        <f>('LEAP Region'!K7+'LEAP Region'!K8)*1000</f>
        <v>10117.953488372093</v>
      </c>
      <c r="G62" s="277" t="s">
        <v>113</v>
      </c>
      <c r="H62" s="277"/>
      <c r="I62" s="277"/>
      <c r="J62" s="277"/>
      <c r="K62" s="277"/>
      <c r="L62" s="277"/>
      <c r="M62" s="277"/>
      <c r="N62" s="277"/>
    </row>
    <row r="63" spans="1:14" ht="56.25" customHeight="1" x14ac:dyDescent="0.25">
      <c r="B63" s="128">
        <f>B62/((0.7*B54)/2.4)</f>
        <v>22.376551134677264</v>
      </c>
      <c r="C63" s="129">
        <f>C62/((0.75*C54)/2.6)</f>
        <v>95.040898659723041</v>
      </c>
      <c r="D63" s="129">
        <f>D62/((0.8*D54)/2.8)</f>
        <v>200.19876585581332</v>
      </c>
      <c r="E63" s="130">
        <f>E62/((0.85*E54)/3)</f>
        <v>253.97986343624277</v>
      </c>
      <c r="F63" s="91"/>
      <c r="G63" s="277" t="s">
        <v>180</v>
      </c>
      <c r="H63" s="277"/>
      <c r="I63" s="277"/>
      <c r="J63" s="277"/>
      <c r="K63" s="277"/>
      <c r="L63" s="277"/>
      <c r="M63" s="277"/>
      <c r="N63" s="277"/>
    </row>
    <row r="64" spans="1:14" ht="56.25" customHeight="1" x14ac:dyDescent="0.25">
      <c r="B64" s="134">
        <f>B63/B31</f>
        <v>3.6208011544785215E-2</v>
      </c>
      <c r="C64" s="135">
        <f>C63/C31</f>
        <v>0.14508288859333673</v>
      </c>
      <c r="D64" s="135">
        <f>D63/D31</f>
        <v>0.28831098528627541</v>
      </c>
      <c r="E64" s="136">
        <f>E63/E31</f>
        <v>0.34505888485919106</v>
      </c>
      <c r="G64" s="277" t="s">
        <v>114</v>
      </c>
      <c r="H64" s="277"/>
      <c r="I64" s="277"/>
      <c r="J64" s="277"/>
      <c r="K64" s="277"/>
      <c r="L64" s="277"/>
      <c r="M64" s="277"/>
      <c r="N64" s="277"/>
    </row>
    <row r="65" spans="1:20" ht="56.25" customHeight="1" x14ac:dyDescent="0.25">
      <c r="B65" s="149">
        <f>('LEAP Region'!H10+'LEAP Region'!H11)*1000</f>
        <v>18064.124031007752</v>
      </c>
      <c r="C65" s="150">
        <f>('LEAP Region'!I10+'LEAP Region'!I11)*1000</f>
        <v>14129.364341085271</v>
      </c>
      <c r="D65" s="150">
        <f>('LEAP Region'!J10+'LEAP Region'!J11)*1000</f>
        <v>9044.8372093023263</v>
      </c>
      <c r="E65" s="151">
        <f>('LEAP Region'!K10+'LEAP Region'!K11)*1000</f>
        <v>3168.2480620155038</v>
      </c>
      <c r="G65" s="277" t="s">
        <v>115</v>
      </c>
      <c r="H65" s="277"/>
      <c r="I65" s="277"/>
      <c r="J65" s="277"/>
      <c r="K65" s="277"/>
      <c r="L65" s="277"/>
      <c r="M65" s="277"/>
      <c r="N65" s="277"/>
    </row>
    <row r="66" spans="1:20" ht="56.25" customHeight="1" x14ac:dyDescent="0.25">
      <c r="B66" s="128">
        <f>B65/B54</f>
        <v>118.31362346743353</v>
      </c>
      <c r="C66" s="129">
        <f>C65/C54</f>
        <v>97.184942601380982</v>
      </c>
      <c r="D66" s="129">
        <f>D65/D54</f>
        <v>64.281508492478849</v>
      </c>
      <c r="E66" s="130">
        <f>E65/E54</f>
        <v>22.533230308232312</v>
      </c>
      <c r="G66" s="277" t="s">
        <v>146</v>
      </c>
      <c r="H66" s="277"/>
      <c r="I66" s="277"/>
      <c r="J66" s="277"/>
      <c r="K66" s="277"/>
      <c r="L66" s="277"/>
      <c r="M66" s="277"/>
      <c r="N66" s="277"/>
    </row>
    <row r="67" spans="1:20" ht="56.25" customHeight="1" x14ac:dyDescent="0.25">
      <c r="A67" s="21"/>
      <c r="B67" s="134">
        <f>B66/B31</f>
        <v>0.19144599266575005</v>
      </c>
      <c r="C67" s="135">
        <f>C66/C31</f>
        <v>0.1483558383729941</v>
      </c>
      <c r="D67" s="135">
        <f>D66/D31</f>
        <v>9.2573323166749683E-2</v>
      </c>
      <c r="E67" s="136">
        <f>E66/E31</f>
        <v>3.0613810155015769E-2</v>
      </c>
      <c r="G67" s="277" t="s">
        <v>116</v>
      </c>
      <c r="H67" s="277"/>
      <c r="I67" s="277"/>
      <c r="J67" s="277"/>
      <c r="K67" s="277"/>
      <c r="L67" s="277"/>
      <c r="M67" s="277"/>
      <c r="N67" s="277"/>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875.65302781149865</v>
      </c>
      <c r="C72" s="156">
        <f ca="1">C49*($B$72-$B$46)+(1-C49)*$B$72</f>
        <v>867.38094231024354</v>
      </c>
      <c r="D72" s="156">
        <f ca="1">D49*($B$72-$B$46)+(1-D49)*$B$72</f>
        <v>862.12936550983386</v>
      </c>
      <c r="E72" s="157">
        <f ca="1">E49*($B$72-$B$46)+(1-E49)*$B$72</f>
        <v>851.40822973463037</v>
      </c>
      <c r="G72" s="276" t="s">
        <v>134</v>
      </c>
      <c r="H72" s="276"/>
      <c r="I72" s="276"/>
      <c r="J72" s="276"/>
      <c r="K72" s="276"/>
      <c r="L72" s="276"/>
      <c r="M72" s="276"/>
      <c r="N72" s="276"/>
    </row>
    <row r="73" spans="1:20" ht="56.25" customHeight="1" x14ac:dyDescent="0.25">
      <c r="B73" s="149">
        <f>('LEAP Region'!T4+'LEAP Region'!T5+'LEAP Region'!T9)*1000</f>
        <v>5650.4455106237156</v>
      </c>
      <c r="C73" s="150">
        <f>('LEAP Region'!U4+'LEAP Region'!U5+'LEAP Region'!U9)*1000</f>
        <v>4737.4914324880065</v>
      </c>
      <c r="D73" s="150">
        <f>('LEAP Region'!V4+'LEAP Region'!V5+'LEAP Region'!V9)*1000</f>
        <v>3676.4907470870462</v>
      </c>
      <c r="E73" s="151">
        <f>('LEAP Region'!W4+'LEAP Region'!W5+'LEAP Region'!W9)*1000</f>
        <v>2035.6408498971903</v>
      </c>
      <c r="G73" s="277" t="s">
        <v>133</v>
      </c>
      <c r="H73" s="277"/>
      <c r="I73" s="277"/>
      <c r="J73" s="277"/>
      <c r="K73" s="277"/>
      <c r="L73" s="277"/>
      <c r="M73" s="277"/>
      <c r="N73" s="277"/>
    </row>
    <row r="74" spans="1:20" ht="56.25" customHeight="1" x14ac:dyDescent="0.25">
      <c r="B74" s="158">
        <f ca="1">com_share_state_target*'LEAP Statewide'!T4*1000/'2.Heat Targets'!B73</f>
        <v>7.3085543208528782E-3</v>
      </c>
      <c r="C74" s="145">
        <f ca="1">com_share_state_target*'LEAP Statewide'!U4*1000/'2.Heat Targets'!C73</f>
        <v>5.4502242972395781E-2</v>
      </c>
      <c r="D74" s="145">
        <f ca="1">com_share_state_target*'LEAP Statewide'!V4*1000/'2.Heat Targets'!D73</f>
        <v>0.13176506246309</v>
      </c>
      <c r="E74" s="159">
        <f ca="1">com_share_state_target*'LEAP Statewide'!W4*1000/'2.Heat Targets'!E73</f>
        <v>0.42316637028098864</v>
      </c>
      <c r="G74" s="277" t="s">
        <v>136</v>
      </c>
      <c r="H74" s="277"/>
      <c r="I74" s="277"/>
      <c r="J74" s="277"/>
      <c r="K74" s="277"/>
      <c r="L74" s="277"/>
      <c r="M74" s="277"/>
      <c r="N74" s="277"/>
    </row>
    <row r="75" spans="1:20" ht="56.25" customHeight="1" x14ac:dyDescent="0.25">
      <c r="B75" s="128">
        <f ca="1">B73/B72</f>
        <v>6.452836147607182</v>
      </c>
      <c r="C75" s="129">
        <f ca="1">C73/C72</f>
        <v>5.4618348195082982</v>
      </c>
      <c r="D75" s="129">
        <f ca="1">D73/D72</f>
        <v>4.264430483600214</v>
      </c>
      <c r="E75" s="130">
        <f ca="1">E73/E72</f>
        <v>2.3909104690374736</v>
      </c>
      <c r="G75" s="277" t="s">
        <v>135</v>
      </c>
      <c r="H75" s="277"/>
      <c r="I75" s="277"/>
      <c r="J75" s="277"/>
      <c r="K75" s="277"/>
      <c r="L75" s="277"/>
      <c r="M75" s="277"/>
      <c r="N75" s="277"/>
    </row>
    <row r="76" spans="1:20" ht="56.25" customHeight="1" x14ac:dyDescent="0.25">
      <c r="B76" s="134">
        <f ca="1">B75/B48</f>
        <v>0.35849089708928789</v>
      </c>
      <c r="C76" s="135">
        <f ca="1">C75/C48</f>
        <v>0.28625968655703865</v>
      </c>
      <c r="D76" s="135">
        <f ca="1">D75/D48</f>
        <v>0.2108515527273552</v>
      </c>
      <c r="E76" s="136">
        <f ca="1">E75/E48</f>
        <v>0.11152525187820377</v>
      </c>
      <c r="G76" s="277" t="s">
        <v>181</v>
      </c>
      <c r="H76" s="277"/>
      <c r="I76" s="277"/>
      <c r="J76" s="277"/>
      <c r="K76" s="277"/>
      <c r="L76" s="277"/>
      <c r="M76" s="277"/>
      <c r="N76" s="277"/>
    </row>
    <row r="77" spans="1:20" ht="56.25" customHeight="1" x14ac:dyDescent="0.25">
      <c r="B77" s="128">
        <f>'LEAP Region'!T10*1000</f>
        <v>1739.5476353666897</v>
      </c>
      <c r="C77" s="129">
        <f>'LEAP Region'!U10*1000</f>
        <v>2381.082933516107</v>
      </c>
      <c r="D77" s="129">
        <f>'LEAP Region'!V10*1000</f>
        <v>3010.2810143934207</v>
      </c>
      <c r="E77" s="130">
        <f>'LEAP Region'!W10*1000</f>
        <v>4095.9561343385885</v>
      </c>
      <c r="G77" s="277" t="s">
        <v>138</v>
      </c>
      <c r="H77" s="277"/>
      <c r="I77" s="277"/>
      <c r="J77" s="277"/>
      <c r="K77" s="277"/>
      <c r="L77" s="277"/>
      <c r="M77" s="277"/>
      <c r="N77" s="277"/>
    </row>
    <row r="78" spans="1:20" ht="56.25" customHeight="1" x14ac:dyDescent="0.25">
      <c r="B78" s="128">
        <f ca="1">B77/B72</f>
        <v>1.9865718271017745</v>
      </c>
      <c r="C78" s="129">
        <f ca="1">C77/C72</f>
        <v>2.7451409379299512</v>
      </c>
      <c r="D78" s="129">
        <f ca="1">D77/D72</f>
        <v>3.4916813355652758</v>
      </c>
      <c r="E78" s="130">
        <f ca="1">E77/E72</f>
        <v>4.8108016710329773</v>
      </c>
      <c r="G78" s="277" t="s">
        <v>139</v>
      </c>
      <c r="H78" s="277"/>
      <c r="I78" s="277"/>
      <c r="J78" s="277"/>
      <c r="K78" s="277"/>
      <c r="L78" s="277"/>
      <c r="M78" s="277"/>
      <c r="N78" s="277"/>
    </row>
    <row r="79" spans="1:20" ht="56.25" customHeight="1" x14ac:dyDescent="0.25">
      <c r="B79" s="134">
        <f ca="1">B78/B48</f>
        <v>0.11036510150565414</v>
      </c>
      <c r="C79" s="135">
        <f ca="1">C78/C48</f>
        <v>0.14387531121226158</v>
      </c>
      <c r="D79" s="135">
        <f ca="1">D78/D48</f>
        <v>0.1726435532398479</v>
      </c>
      <c r="E79" s="136">
        <f ca="1">E78/E48</f>
        <v>0.22440232499129484</v>
      </c>
      <c r="G79" s="277" t="s">
        <v>141</v>
      </c>
      <c r="H79" s="277"/>
      <c r="I79" s="277"/>
      <c r="J79" s="277"/>
      <c r="K79" s="277"/>
      <c r="L79" s="277"/>
      <c r="M79" s="277"/>
      <c r="N79" s="277"/>
    </row>
    <row r="80" spans="1:20" ht="56.25" customHeight="1" x14ac:dyDescent="0.25">
      <c r="B80" s="149">
        <f>B43</f>
        <v>46.511309115832766</v>
      </c>
      <c r="C80" s="150">
        <f>C43</f>
        <v>262.01507882111019</v>
      </c>
      <c r="D80" s="150">
        <f>D43</f>
        <v>477.51884852638761</v>
      </c>
      <c r="E80" s="151">
        <f>E43</f>
        <v>693.02261823166509</v>
      </c>
      <c r="G80" s="277" t="s">
        <v>142</v>
      </c>
      <c r="H80" s="277"/>
      <c r="I80" s="277"/>
      <c r="J80" s="277"/>
      <c r="K80" s="277"/>
      <c r="L80" s="277"/>
      <c r="M80" s="277"/>
      <c r="N80" s="277"/>
    </row>
    <row r="81" spans="2:14" ht="56.25" customHeight="1" x14ac:dyDescent="0.25">
      <c r="B81" s="128">
        <f ca="1">B80/((0.7*B72)/2.4)</f>
        <v>0.18211248117139672</v>
      </c>
      <c r="C81" s="129">
        <f ca="1">C80/((0.75*C72)/2.6)</f>
        <v>1.0471972527940276</v>
      </c>
      <c r="D81" s="129">
        <f ca="1">D80/((0.8*D72)/2.8)</f>
        <v>1.9385906996150135</v>
      </c>
      <c r="E81" s="130">
        <f ca="1">E80/((0.85*E72)/3)</f>
        <v>2.8728430106395346</v>
      </c>
      <c r="G81" s="277" t="s">
        <v>143</v>
      </c>
      <c r="H81" s="277"/>
      <c r="I81" s="277"/>
      <c r="J81" s="277"/>
      <c r="K81" s="277"/>
      <c r="L81" s="277"/>
      <c r="M81" s="277"/>
      <c r="N81" s="277"/>
    </row>
    <row r="82" spans="2:14" ht="56.25" customHeight="1" x14ac:dyDescent="0.25">
      <c r="B82" s="134">
        <f ca="1">B81/B48</f>
        <v>1.0117360065077595E-2</v>
      </c>
      <c r="C82" s="135">
        <f ca="1">C81/C48</f>
        <v>5.4884552033229957E-2</v>
      </c>
      <c r="D82" s="135">
        <f ca="1">D81/D48</f>
        <v>9.5852156739004254E-2</v>
      </c>
      <c r="E82" s="136">
        <f ca="1">E81/E48</f>
        <v>0.13400524382541806</v>
      </c>
      <c r="G82" s="277" t="s">
        <v>144</v>
      </c>
      <c r="H82" s="277"/>
      <c r="I82" s="277"/>
      <c r="J82" s="277"/>
      <c r="K82" s="277"/>
      <c r="L82" s="277"/>
      <c r="M82" s="277"/>
      <c r="N82" s="277"/>
    </row>
    <row r="83" spans="2:14" ht="56.25" customHeight="1" x14ac:dyDescent="0.25">
      <c r="B83" s="149">
        <f>('LEAP Region'!T7+'LEAP Region'!T8)*1000</f>
        <v>3688.8279643591504</v>
      </c>
      <c r="C83" s="150">
        <f>('LEAP Region'!U7+'LEAP Region'!U8)*1000</f>
        <v>3183.002056202879</v>
      </c>
      <c r="D83" s="150">
        <f>('LEAP Region'!V7+'LEAP Region'!V8)*1000</f>
        <v>2578.4784098697742</v>
      </c>
      <c r="E83" s="151">
        <f>('LEAP Region'!W7+'LEAP Region'!W8)*1000</f>
        <v>1640.8498971898562</v>
      </c>
      <c r="G83" s="277" t="s">
        <v>145</v>
      </c>
      <c r="H83" s="277"/>
      <c r="I83" s="277"/>
      <c r="J83" s="277"/>
      <c r="K83" s="277"/>
      <c r="L83" s="277"/>
      <c r="M83" s="277"/>
      <c r="N83" s="277"/>
    </row>
    <row r="84" spans="2:14" ht="56.25" customHeight="1" x14ac:dyDescent="0.25">
      <c r="B84" s="128">
        <f ca="1">B83/B72</f>
        <v>4.2126594064073091</v>
      </c>
      <c r="C84" s="129">
        <f ca="1">C83/C72</f>
        <v>3.6696702693571375</v>
      </c>
      <c r="D84" s="129">
        <f ca="1">D83/D72</f>
        <v>2.9908254062833715</v>
      </c>
      <c r="E84" s="130">
        <f ca="1">E83/E72</f>
        <v>1.9272187417089937</v>
      </c>
      <c r="G84" s="277" t="s">
        <v>147</v>
      </c>
      <c r="H84" s="277"/>
      <c r="I84" s="277"/>
      <c r="J84" s="277"/>
      <c r="K84" s="277"/>
      <c r="L84" s="277"/>
      <c r="M84" s="277"/>
      <c r="N84" s="277"/>
    </row>
    <row r="85" spans="2:14" ht="56.25" customHeight="1" x14ac:dyDescent="0.25">
      <c r="B85" s="134">
        <f ca="1">B84/B48</f>
        <v>0.23403663368929495</v>
      </c>
      <c r="C85" s="135">
        <f ca="1">C84/C48</f>
        <v>0.19233072690551034</v>
      </c>
      <c r="D85" s="135">
        <f ca="1">D84/D48</f>
        <v>0.14787910912757463</v>
      </c>
      <c r="E85" s="136">
        <f ca="1">E84/E48</f>
        <v>8.9896112120006658E-2</v>
      </c>
      <c r="G85" s="277" t="s">
        <v>148</v>
      </c>
      <c r="H85" s="277"/>
      <c r="I85" s="277"/>
      <c r="J85" s="277"/>
      <c r="K85" s="277"/>
      <c r="L85" s="277"/>
      <c r="M85" s="277"/>
      <c r="N85" s="277"/>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9" zoomScale="80" zoomScaleNormal="80" workbookViewId="0">
      <selection activeCell="C27" sqref="C27:E27"/>
    </sheetView>
  </sheetViews>
  <sheetFormatPr defaultRowHeight="15" x14ac:dyDescent="0.25"/>
  <cols>
    <col min="1" max="1" width="5.28515625" customWidth="1"/>
    <col min="2" max="5" width="12" customWidth="1"/>
    <col min="6" max="6" width="12" hidden="1" customWidth="1"/>
    <col min="7" max="20" width="12" customWidth="1"/>
  </cols>
  <sheetData>
    <row r="2" spans="2:15" ht="21" x14ac:dyDescent="0.35">
      <c r="B2" s="52" t="s">
        <v>503</v>
      </c>
    </row>
    <row r="3" spans="2:15" ht="21" x14ac:dyDescent="0.35">
      <c r="B3" s="52"/>
    </row>
    <row r="4" spans="2:15" ht="22.5" customHeight="1" x14ac:dyDescent="0.25">
      <c r="B4" s="284" t="s">
        <v>504</v>
      </c>
      <c r="C4" s="285"/>
      <c r="D4" s="285"/>
      <c r="E4" s="285"/>
      <c r="F4" s="285"/>
      <c r="G4" s="285"/>
      <c r="H4" s="285"/>
      <c r="I4" s="285"/>
      <c r="J4" s="285"/>
      <c r="K4" s="285"/>
      <c r="L4" s="285"/>
      <c r="M4" s="285"/>
      <c r="N4" s="286"/>
    </row>
    <row r="5" spans="2:15" ht="22.5" customHeight="1" x14ac:dyDescent="0.25">
      <c r="B5" s="287"/>
      <c r="C5" s="288"/>
      <c r="D5" s="288"/>
      <c r="E5" s="288"/>
      <c r="F5" s="288"/>
      <c r="G5" s="288"/>
      <c r="H5" s="288"/>
      <c r="I5" s="288"/>
      <c r="J5" s="288"/>
      <c r="K5" s="288"/>
      <c r="L5" s="288"/>
      <c r="M5" s="288"/>
      <c r="N5" s="289"/>
    </row>
    <row r="6" spans="2:15" ht="22.5" customHeight="1" x14ac:dyDescent="0.25">
      <c r="B6" s="290"/>
      <c r="C6" s="291"/>
      <c r="D6" s="291"/>
      <c r="E6" s="291"/>
      <c r="F6" s="291"/>
      <c r="G6" s="291"/>
      <c r="H6" s="291"/>
      <c r="I6" s="291"/>
      <c r="J6" s="291"/>
      <c r="K6" s="291"/>
      <c r="L6" s="291"/>
      <c r="M6" s="291"/>
      <c r="N6" s="292"/>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3" t="s">
        <v>151</v>
      </c>
      <c r="N11" s="294"/>
      <c r="O11" s="295"/>
    </row>
    <row r="12" spans="2:15" x14ac:dyDescent="0.25">
      <c r="B12" s="1">
        <v>100</v>
      </c>
      <c r="C12" s="2" t="s">
        <v>103</v>
      </c>
      <c r="D12" s="2"/>
      <c r="E12" s="2"/>
      <c r="F12" s="2"/>
      <c r="G12" s="2"/>
      <c r="H12" s="2"/>
      <c r="I12" s="2"/>
      <c r="J12" s="2"/>
      <c r="K12" s="3"/>
      <c r="M12" s="296"/>
      <c r="N12" s="297"/>
      <c r="O12" s="298"/>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76.651162790697668</v>
      </c>
      <c r="C18" s="129">
        <f>'LEAP Region'!I26*1000</f>
        <v>2095.1317829457366</v>
      </c>
      <c r="D18" s="129">
        <f>'LEAP Region'!J26*1000</f>
        <v>6080.9922480620153</v>
      </c>
      <c r="E18" s="130">
        <f>'LEAP Region'!K26*1000</f>
        <v>11778.728682170544</v>
      </c>
      <c r="G18" s="277" t="s">
        <v>474</v>
      </c>
      <c r="H18" s="277"/>
      <c r="I18" s="277"/>
      <c r="J18" s="277"/>
      <c r="K18" s="277"/>
      <c r="L18" s="277"/>
      <c r="M18" s="277"/>
      <c r="N18" s="277"/>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77" t="s">
        <v>190</v>
      </c>
      <c r="H19" s="277"/>
      <c r="I19" s="277"/>
      <c r="J19" s="277"/>
      <c r="K19" s="277"/>
      <c r="L19" s="277"/>
      <c r="M19" s="277"/>
      <c r="N19" s="277"/>
      <c r="V19" t="s">
        <v>547</v>
      </c>
    </row>
    <row r="20" spans="2:22" ht="54.75" customHeight="1" x14ac:dyDescent="0.25">
      <c r="B20" s="128">
        <f>IF($F$22="adj",'1.Current Trans'!$O$13*B18/B19,B18/B19)</f>
        <v>5.3916409934840095</v>
      </c>
      <c r="C20" s="129">
        <f>IF($F$22="adj",'1.Current Trans'!$O$13*C18/C19,C18/C19)</f>
        <v>160.76893144206866</v>
      </c>
      <c r="D20" s="129">
        <f>IF($F$22="adj",'1.Current Trans'!$O$13*D18/D19,D18/D19)</f>
        <v>513.28422257967782</v>
      </c>
      <c r="E20" s="130">
        <f>IF($F$22="adj",'1.Current Trans'!$O$13*E18/E19,E18/E19)</f>
        <v>1104.687332442724</v>
      </c>
      <c r="G20" s="299" t="s">
        <v>106</v>
      </c>
      <c r="H20" s="299"/>
      <c r="I20" s="299"/>
      <c r="J20" s="299"/>
      <c r="K20" s="299"/>
      <c r="L20" s="299"/>
      <c r="M20" s="299"/>
      <c r="N20" s="299"/>
    </row>
    <row r="21" spans="2:22" ht="54.75" customHeight="1" x14ac:dyDescent="0.25">
      <c r="B21" s="131">
        <f>'1.Current Trans'!B9+'1.Current Trans'!B32</f>
        <v>1284</v>
      </c>
      <c r="C21" s="132">
        <f t="shared" ref="C21:E21" si="0">B21*1.125</f>
        <v>1444.5</v>
      </c>
      <c r="D21" s="132">
        <f t="shared" si="0"/>
        <v>1625.0625</v>
      </c>
      <c r="E21" s="133">
        <f t="shared" si="0"/>
        <v>1828.1953125</v>
      </c>
      <c r="G21" s="299" t="s">
        <v>189</v>
      </c>
      <c r="H21" s="299"/>
      <c r="I21" s="299"/>
      <c r="J21" s="299"/>
      <c r="K21" s="299"/>
      <c r="L21" s="299"/>
      <c r="M21" s="299"/>
      <c r="N21" s="299"/>
      <c r="O21" s="186">
        <f>(E21/B21)^(1/(E17-B17))-1</f>
        <v>1.014682216717655E-2</v>
      </c>
    </row>
    <row r="22" spans="2:22" ht="54.75" customHeight="1" x14ac:dyDescent="0.25">
      <c r="B22" s="134">
        <f>B20/B21</f>
        <v>4.1990973469501628E-3</v>
      </c>
      <c r="C22" s="135">
        <f>C20/C21</f>
        <v>0.11129728725653767</v>
      </c>
      <c r="D22" s="135">
        <f>D20/D21</f>
        <v>0.31585506562343157</v>
      </c>
      <c r="E22" s="136">
        <f>E20/E21</f>
        <v>0.60425017222700272</v>
      </c>
      <c r="F22" s="54" t="s">
        <v>545</v>
      </c>
      <c r="G22" s="299" t="s">
        <v>191</v>
      </c>
      <c r="H22" s="299"/>
      <c r="I22" s="299"/>
      <c r="J22" s="299"/>
      <c r="K22" s="299"/>
      <c r="L22" s="299"/>
      <c r="M22" s="299"/>
      <c r="N22" s="299"/>
    </row>
    <row r="23" spans="2:22" ht="54.75" customHeight="1" x14ac:dyDescent="0.25">
      <c r="B23" s="166">
        <f>('LEAP Region'!H24+'LEAP Region'!H25+'LEAP Region'!H27+'LEAP Region'!H28)*1000</f>
        <v>87356.775193798458</v>
      </c>
      <c r="C23" s="167">
        <f>('LEAP Region'!I24+'LEAP Region'!I25+'LEAP Region'!I27+'LEAP Region'!I28)*1000</f>
        <v>62675.100775193794</v>
      </c>
      <c r="D23" s="167">
        <f>('LEAP Region'!J24+'LEAP Region'!J25+'LEAP Region'!J27+'LEAP Region'!J28)*1000</f>
        <v>35796.093023255817</v>
      </c>
      <c r="E23" s="168">
        <f>('LEAP Region'!K24+'LEAP Region'!K25+'LEAP Region'!K27+'LEAP Region'!K28)*1000</f>
        <v>4982.3255813953492</v>
      </c>
      <c r="G23" s="277" t="s">
        <v>470</v>
      </c>
      <c r="H23" s="277"/>
      <c r="I23" s="277"/>
      <c r="J23" s="277"/>
      <c r="K23" s="277"/>
      <c r="L23" s="277"/>
      <c r="M23" s="277"/>
      <c r="N23" s="277"/>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0.12593916004531611</v>
      </c>
      <c r="D24" s="145">
        <f>res_share_state_target*('LEAP Statewide'!J25+'LEAP Statewide'!J28)*1000000/'2.Trans Targets'!D23</f>
        <v>0.14700393033126827</v>
      </c>
      <c r="E24" s="159">
        <f>res_share_state_target*('LEAP Statewide'!K25+'LEAP Statewide'!K28)*1000000/'2.Trans Targets'!E23</f>
        <v>0.52808334972847915</v>
      </c>
      <c r="G24" s="300" t="s">
        <v>192</v>
      </c>
      <c r="H24" s="300"/>
      <c r="I24" s="300"/>
      <c r="J24" s="300"/>
      <c r="K24" s="300"/>
      <c r="L24" s="300"/>
      <c r="M24" s="300"/>
      <c r="N24" s="300"/>
    </row>
    <row r="25" spans="2:22" ht="54.75" customHeight="1" x14ac:dyDescent="0.25">
      <c r="B25" s="128">
        <f>'1.Current Trans'!B26/'1.Current Trans'!B9</f>
        <v>74.83868636363637</v>
      </c>
      <c r="C25" s="129">
        <f>B25-(($B$25-$E$25)/3)</f>
        <v>64.039282575757582</v>
      </c>
      <c r="D25" s="129">
        <f>C25-(($B$25-$E$25)/3)</f>
        <v>53.239878787878794</v>
      </c>
      <c r="E25" s="169">
        <f>('1.Current Trans'!B9*'1.Current Trans'!B13/40)*'1.Current Trans'!B21/'1.Current Trans'!B9/1000000</f>
        <v>42.440474999999999</v>
      </c>
      <c r="G25" s="277" t="s">
        <v>193</v>
      </c>
      <c r="H25" s="277"/>
      <c r="I25" s="277"/>
      <c r="J25" s="277"/>
      <c r="K25" s="277"/>
      <c r="L25" s="277"/>
      <c r="M25" s="277"/>
      <c r="N25" s="277"/>
    </row>
    <row r="26" spans="2:22" ht="54.75" customHeight="1" x14ac:dyDescent="0.25">
      <c r="B26" s="128">
        <f>IF($F$22="adj",'1.Current Trans'!$O$13*B23/B25,B23/B25)</f>
        <v>1307.3397325770525</v>
      </c>
      <c r="C26" s="129">
        <f>IF($F$22="adj",'1.Current Trans'!$O$13*C23/C25,C23/C25)</f>
        <v>1096.1414626276619</v>
      </c>
      <c r="D26" s="129">
        <f>IF($F$22="adj",'1.Current Trans'!$O$13*D23/D25,D23/D25)</f>
        <v>753.03748052811568</v>
      </c>
      <c r="E26" s="130">
        <f>IF($F$22="adj",'1.Current Trans'!$O$13*E23/E25,E23/E25)</f>
        <v>131.48308663281435</v>
      </c>
      <c r="G26" s="299" t="s">
        <v>107</v>
      </c>
      <c r="H26" s="299"/>
      <c r="I26" s="299"/>
      <c r="J26" s="299"/>
      <c r="K26" s="299"/>
      <c r="L26" s="299"/>
      <c r="M26" s="299"/>
      <c r="N26" s="299"/>
    </row>
    <row r="27" spans="2:22" ht="54.75" customHeight="1" x14ac:dyDescent="0.25">
      <c r="B27" s="134">
        <f>B26/B21</f>
        <v>1.0181773618201344</v>
      </c>
      <c r="C27" s="135">
        <f>C26/C21</f>
        <v>0.75883798035836758</v>
      </c>
      <c r="D27" s="135">
        <f>D26/D21</f>
        <v>0.46338985763816204</v>
      </c>
      <c r="E27" s="136">
        <f>E26/E21</f>
        <v>7.1919606036520978E-2</v>
      </c>
      <c r="G27" s="299" t="s">
        <v>108</v>
      </c>
      <c r="H27" s="299"/>
      <c r="I27" s="299"/>
      <c r="J27" s="299"/>
      <c r="K27" s="299"/>
      <c r="L27" s="299"/>
      <c r="M27" s="299"/>
      <c r="N27" s="299"/>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C8" sqref="C8"/>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306604.65116279066</v>
      </c>
      <c r="C5" s="172">
        <f>'LEAP Region'!C49*1000000</f>
        <v>1430821.7054263565</v>
      </c>
      <c r="D5" s="172">
        <f>'LEAP Region'!D49*1000000</f>
        <v>2248434.1085271318</v>
      </c>
      <c r="E5" s="173">
        <f>'LEAP Region'!E49*1000000</f>
        <v>3296000.0000000005</v>
      </c>
      <c r="G5" s="277" t="s">
        <v>186</v>
      </c>
      <c r="H5" s="277"/>
      <c r="I5" s="277"/>
      <c r="J5" s="277"/>
      <c r="K5" s="277"/>
      <c r="L5" s="277"/>
      <c r="M5" s="277"/>
      <c r="N5" s="277"/>
    </row>
    <row r="6" spans="2:14" s="126" customFormat="1" ht="45" customHeight="1" x14ac:dyDescent="0.2">
      <c r="B6" s="301">
        <v>400</v>
      </c>
      <c r="C6" s="302"/>
      <c r="D6" s="302"/>
      <c r="E6" s="303"/>
      <c r="G6" s="277" t="s">
        <v>475</v>
      </c>
      <c r="H6" s="277"/>
      <c r="I6" s="277"/>
      <c r="J6" s="277"/>
      <c r="K6" s="277"/>
      <c r="L6" s="277"/>
      <c r="M6" s="277"/>
      <c r="N6" s="277"/>
    </row>
    <row r="7" spans="2:14" s="126" customFormat="1" ht="45" customHeight="1" x14ac:dyDescent="0.2">
      <c r="B7" s="171">
        <f>B5/13/$B$6</f>
        <v>58.962432915921283</v>
      </c>
      <c r="C7" s="172">
        <f>C5/13/$B$6</f>
        <v>275.15802027429936</v>
      </c>
      <c r="D7" s="172">
        <f>D5/13/$B$6</f>
        <v>432.39117471675615</v>
      </c>
      <c r="E7" s="172">
        <f>E5/13/$B$6</f>
        <v>633.84615384615392</v>
      </c>
      <c r="G7" s="277" t="s">
        <v>185</v>
      </c>
      <c r="H7" s="277"/>
      <c r="I7" s="277"/>
      <c r="J7" s="277"/>
      <c r="K7" s="277"/>
      <c r="L7" s="277"/>
      <c r="M7" s="277"/>
      <c r="N7" s="277"/>
    </row>
    <row r="8" spans="2:14" s="126" customFormat="1" ht="45" customHeight="1" x14ac:dyDescent="0.2">
      <c r="B8" s="36">
        <f>'2.Heat Targets'!B31*1.5</f>
        <v>927</v>
      </c>
      <c r="C8" s="36">
        <f>'2.Heat Targets'!C31*1.5</f>
        <v>982.62000000000012</v>
      </c>
      <c r="D8" s="36">
        <f>'2.Heat Targets'!D31*1.5</f>
        <v>1041.5772000000002</v>
      </c>
      <c r="E8" s="36">
        <f>'2.Heat Targets'!E31*1.5</f>
        <v>1104.0718320000001</v>
      </c>
      <c r="G8" s="277" t="s">
        <v>187</v>
      </c>
      <c r="H8" s="277"/>
      <c r="I8" s="277"/>
      <c r="J8" s="277"/>
      <c r="K8" s="277"/>
      <c r="L8" s="277"/>
      <c r="M8" s="277"/>
      <c r="N8" s="277"/>
    </row>
    <row r="9" spans="2:14" s="126" customFormat="1" ht="45" customHeight="1" x14ac:dyDescent="0.2">
      <c r="B9" s="174">
        <f>B7/B8</f>
        <v>6.3605645000993832E-2</v>
      </c>
      <c r="C9" s="175">
        <f>C7/C8</f>
        <v>0.28002485220563322</v>
      </c>
      <c r="D9" s="175">
        <f>D7/D8</f>
        <v>0.41513118251508968</v>
      </c>
      <c r="E9" s="176">
        <f>E7/E8</f>
        <v>0.57409865506482183</v>
      </c>
      <c r="G9" s="277" t="s">
        <v>188</v>
      </c>
      <c r="H9" s="277"/>
      <c r="I9" s="277"/>
      <c r="J9" s="277"/>
      <c r="K9" s="277"/>
      <c r="L9" s="277"/>
      <c r="M9" s="277"/>
      <c r="N9" s="277"/>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4"/>
      <c r="C17" s="304"/>
      <c r="D17" s="304"/>
      <c r="E17" s="304"/>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zoomScale="70" zoomScaleNormal="70" workbookViewId="0">
      <selection activeCell="U21" sqref="U2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27" t="s">
        <v>25</v>
      </c>
      <c r="B2" s="228"/>
      <c r="C2" s="228"/>
      <c r="D2" s="228"/>
      <c r="E2" s="229"/>
      <c r="G2" s="227" t="s">
        <v>30</v>
      </c>
      <c r="H2" s="228"/>
      <c r="I2" s="228"/>
      <c r="J2" s="228"/>
      <c r="K2" s="229"/>
      <c r="M2" s="227" t="s">
        <v>31</v>
      </c>
      <c r="N2" s="228"/>
      <c r="O2" s="228"/>
      <c r="P2" s="228"/>
      <c r="Q2" s="229"/>
      <c r="R2" s="10"/>
      <c r="S2" s="227" t="s">
        <v>32</v>
      </c>
      <c r="T2" s="228"/>
      <c r="U2" s="228"/>
      <c r="V2" s="228"/>
      <c r="W2" s="229"/>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x14ac:dyDescent="0.25">
      <c r="L15" s="22"/>
      <c r="M15" s="310"/>
      <c r="N15" s="310"/>
      <c r="O15" s="310"/>
      <c r="P15" s="310"/>
      <c r="Q15" s="310"/>
      <c r="R15" s="310"/>
    </row>
    <row r="16" spans="1:25" x14ac:dyDescent="0.25">
      <c r="B16" s="21"/>
      <c r="C16" s="21"/>
      <c r="D16" s="21"/>
      <c r="E16" s="21"/>
      <c r="H16" s="21"/>
      <c r="I16" s="21"/>
      <c r="J16" s="21"/>
      <c r="K16" s="21"/>
      <c r="L16" s="22"/>
      <c r="M16" s="306"/>
      <c r="N16" s="306"/>
      <c r="O16" s="306"/>
      <c r="P16" s="306"/>
      <c r="Q16" s="307"/>
      <c r="R16" s="311"/>
    </row>
    <row r="17" spans="1:18" x14ac:dyDescent="0.25">
      <c r="B17" s="21"/>
      <c r="C17" s="21"/>
      <c r="D17" s="21"/>
      <c r="E17" s="21"/>
      <c r="H17" s="21"/>
      <c r="I17" s="21"/>
      <c r="J17" s="21"/>
      <c r="K17" s="30"/>
      <c r="L17" s="22"/>
      <c r="M17" s="306"/>
      <c r="N17" s="306"/>
      <c r="O17" s="306"/>
      <c r="P17" s="306"/>
      <c r="Q17" s="307"/>
      <c r="R17" s="307"/>
    </row>
    <row r="18" spans="1:18" x14ac:dyDescent="0.25">
      <c r="B18" s="21"/>
      <c r="L18" s="22"/>
      <c r="M18" s="307"/>
      <c r="N18" s="307"/>
      <c r="O18" s="307"/>
      <c r="P18" s="307"/>
      <c r="Q18" s="307"/>
      <c r="R18" s="307"/>
    </row>
    <row r="19" spans="1:18" x14ac:dyDescent="0.25">
      <c r="B19" s="21"/>
      <c r="C19" s="21"/>
      <c r="D19" s="21"/>
      <c r="E19" s="21"/>
      <c r="H19" s="21"/>
      <c r="I19" s="21"/>
      <c r="J19" s="21"/>
      <c r="K19" s="21"/>
      <c r="L19" s="22"/>
      <c r="M19" s="307"/>
      <c r="N19" s="308"/>
      <c r="O19" s="308"/>
      <c r="P19" s="308"/>
      <c r="Q19" s="308"/>
      <c r="R19" s="307"/>
    </row>
    <row r="20" spans="1:18" x14ac:dyDescent="0.25">
      <c r="B20" s="21"/>
      <c r="C20" s="21"/>
      <c r="D20" s="21"/>
      <c r="E20" s="21"/>
      <c r="H20" s="23"/>
      <c r="I20" s="23"/>
      <c r="J20" s="23"/>
      <c r="K20" s="23"/>
      <c r="L20" s="22"/>
      <c r="M20" s="306"/>
      <c r="N20" s="308"/>
      <c r="O20" s="308"/>
      <c r="P20" s="308"/>
      <c r="Q20" s="308"/>
      <c r="R20" s="307"/>
    </row>
    <row r="21" spans="1:18" x14ac:dyDescent="0.25">
      <c r="L21" s="22"/>
      <c r="M21" s="306"/>
      <c r="N21" s="308"/>
      <c r="O21" s="308"/>
      <c r="P21" s="308"/>
      <c r="Q21" s="308"/>
      <c r="R21" s="307"/>
    </row>
    <row r="22" spans="1:18" ht="33.75" customHeight="1" x14ac:dyDescent="0.25">
      <c r="A22" s="227" t="s">
        <v>472</v>
      </c>
      <c r="B22" s="228"/>
      <c r="C22" s="228"/>
      <c r="D22" s="228"/>
      <c r="E22" s="229"/>
      <c r="G22" s="227" t="s">
        <v>473</v>
      </c>
      <c r="H22" s="228"/>
      <c r="I22" s="228"/>
      <c r="J22" s="228"/>
      <c r="K22" s="229"/>
      <c r="L22" s="22"/>
      <c r="M22" s="306"/>
      <c r="N22" s="308"/>
      <c r="O22" s="308"/>
      <c r="P22" s="308"/>
      <c r="Q22" s="308"/>
      <c r="R22" s="307"/>
    </row>
    <row r="23" spans="1:18" x14ac:dyDescent="0.25">
      <c r="A23" s="14" t="s">
        <v>0</v>
      </c>
      <c r="B23" s="15">
        <v>2015</v>
      </c>
      <c r="C23" s="15">
        <v>2025</v>
      </c>
      <c r="D23" s="15">
        <v>2035</v>
      </c>
      <c r="E23" s="16">
        <v>2050</v>
      </c>
      <c r="G23" s="14" t="s">
        <v>0</v>
      </c>
      <c r="H23" s="15">
        <v>2015</v>
      </c>
      <c r="I23" s="15">
        <v>2025</v>
      </c>
      <c r="J23" s="15">
        <v>2035</v>
      </c>
      <c r="K23" s="16">
        <v>2050</v>
      </c>
      <c r="M23" s="306"/>
      <c r="N23" s="308"/>
      <c r="O23" s="308"/>
      <c r="P23" s="308"/>
      <c r="Q23" s="308"/>
      <c r="R23" s="307"/>
    </row>
    <row r="24" spans="1:18" x14ac:dyDescent="0.25">
      <c r="A24" s="1" t="s">
        <v>21</v>
      </c>
      <c r="B24" s="4">
        <v>2912</v>
      </c>
      <c r="C24" s="4">
        <v>2370</v>
      </c>
      <c r="D24" s="4">
        <v>2020</v>
      </c>
      <c r="E24" s="5">
        <v>1696</v>
      </c>
      <c r="G24" s="1" t="s">
        <v>21</v>
      </c>
      <c r="H24" s="4">
        <v>2923</v>
      </c>
      <c r="I24" s="4">
        <v>2094</v>
      </c>
      <c r="J24" s="4">
        <v>1166</v>
      </c>
      <c r="K24" s="5">
        <v>91</v>
      </c>
      <c r="M24" s="306"/>
      <c r="N24" s="308"/>
      <c r="O24" s="308"/>
      <c r="P24" s="308"/>
      <c r="Q24" s="308"/>
      <c r="R24" s="307"/>
    </row>
    <row r="25" spans="1:18" x14ac:dyDescent="0.25">
      <c r="A25" s="1" t="s">
        <v>22</v>
      </c>
      <c r="B25" s="4">
        <v>395</v>
      </c>
      <c r="C25" s="4">
        <v>319</v>
      </c>
      <c r="D25" s="4">
        <v>270</v>
      </c>
      <c r="E25" s="5">
        <v>224</v>
      </c>
      <c r="G25" s="1" t="s">
        <v>22</v>
      </c>
      <c r="H25" s="4">
        <v>390</v>
      </c>
      <c r="I25" s="4">
        <v>260</v>
      </c>
      <c r="J25" s="4">
        <v>141</v>
      </c>
      <c r="K25" s="5">
        <v>16</v>
      </c>
      <c r="M25" s="306"/>
      <c r="N25" s="308"/>
      <c r="O25" s="308"/>
      <c r="P25" s="308"/>
      <c r="Q25" s="308"/>
      <c r="R25" s="307"/>
    </row>
    <row r="26" spans="1:18" x14ac:dyDescent="0.25">
      <c r="A26" s="1" t="s">
        <v>23</v>
      </c>
      <c r="B26" s="4">
        <v>3</v>
      </c>
      <c r="C26" s="4">
        <v>9</v>
      </c>
      <c r="D26" s="4">
        <v>14</v>
      </c>
      <c r="E26" s="5">
        <v>21</v>
      </c>
      <c r="G26" s="1" t="s">
        <v>23</v>
      </c>
      <c r="H26" s="4">
        <v>3</v>
      </c>
      <c r="I26" s="4">
        <v>82</v>
      </c>
      <c r="J26" s="4">
        <v>238</v>
      </c>
      <c r="K26" s="5">
        <v>461</v>
      </c>
      <c r="M26" s="306"/>
      <c r="N26" s="308"/>
      <c r="O26" s="308"/>
      <c r="P26" s="308"/>
      <c r="Q26" s="308"/>
      <c r="R26" s="307"/>
    </row>
    <row r="27" spans="1:18" x14ac:dyDescent="0.25">
      <c r="A27" s="1" t="s">
        <v>20</v>
      </c>
      <c r="B27" s="4">
        <v>106</v>
      </c>
      <c r="C27" s="4">
        <v>100</v>
      </c>
      <c r="D27" s="4">
        <v>98</v>
      </c>
      <c r="E27" s="5">
        <v>97</v>
      </c>
      <c r="G27" s="1" t="s">
        <v>20</v>
      </c>
      <c r="H27" s="4">
        <v>98</v>
      </c>
      <c r="I27" s="4">
        <v>61</v>
      </c>
      <c r="J27" s="4">
        <v>33</v>
      </c>
      <c r="K27" s="5">
        <v>1</v>
      </c>
      <c r="M27" s="306"/>
      <c r="N27" s="308"/>
      <c r="O27" s="308"/>
      <c r="P27" s="308"/>
      <c r="Q27" s="308"/>
      <c r="R27" s="307"/>
    </row>
    <row r="28" spans="1:18" x14ac:dyDescent="0.25">
      <c r="A28" s="1" t="s">
        <v>18</v>
      </c>
      <c r="B28" s="4">
        <v>1</v>
      </c>
      <c r="C28" s="4">
        <v>1</v>
      </c>
      <c r="D28" s="4">
        <v>1</v>
      </c>
      <c r="E28" s="5">
        <v>0</v>
      </c>
      <c r="G28" s="1" t="s">
        <v>18</v>
      </c>
      <c r="H28" s="4">
        <v>8</v>
      </c>
      <c r="I28" s="4">
        <v>38</v>
      </c>
      <c r="J28" s="4">
        <v>61</v>
      </c>
      <c r="K28" s="5">
        <v>87</v>
      </c>
      <c r="M28" s="306"/>
      <c r="N28" s="308"/>
      <c r="O28" s="308"/>
      <c r="P28" s="308"/>
      <c r="Q28" s="308"/>
      <c r="R28" s="307"/>
    </row>
    <row r="29" spans="1:18" x14ac:dyDescent="0.25">
      <c r="A29" s="6" t="s">
        <v>24</v>
      </c>
      <c r="B29" s="18">
        <v>0</v>
      </c>
      <c r="C29" s="18">
        <v>0</v>
      </c>
      <c r="D29" s="18">
        <v>0</v>
      </c>
      <c r="E29" s="19">
        <v>0</v>
      </c>
      <c r="G29" s="1" t="s">
        <v>24</v>
      </c>
      <c r="H29" s="4">
        <v>0</v>
      </c>
      <c r="I29" s="4">
        <v>0</v>
      </c>
      <c r="J29" s="4">
        <v>0</v>
      </c>
      <c r="K29" s="5">
        <v>0</v>
      </c>
      <c r="M29" s="306"/>
      <c r="N29" s="309"/>
      <c r="O29" s="309"/>
      <c r="P29" s="309"/>
      <c r="Q29" s="309"/>
      <c r="R29" s="307"/>
    </row>
    <row r="30" spans="1:18"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8"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0" t="s">
        <v>184</v>
      </c>
      <c r="B48" s="17">
        <v>2015</v>
      </c>
      <c r="C48" s="17">
        <v>2025</v>
      </c>
      <c r="D48" s="17">
        <v>2035</v>
      </c>
      <c r="E48" s="17">
        <v>2050</v>
      </c>
      <c r="M48" s="221"/>
      <c r="N48" s="221"/>
      <c r="O48" s="221"/>
      <c r="P48" s="221"/>
      <c r="Q48" s="222"/>
    </row>
    <row r="49" spans="1:17" ht="89.25" customHeight="1" x14ac:dyDescent="0.25">
      <c r="A49" s="230"/>
      <c r="B49" s="214">
        <v>12</v>
      </c>
      <c r="C49" s="213">
        <v>56</v>
      </c>
      <c r="D49" s="213">
        <v>88</v>
      </c>
      <c r="E49" s="213">
        <v>129</v>
      </c>
      <c r="M49" s="221"/>
      <c r="N49" s="221"/>
      <c r="O49" s="221"/>
      <c r="P49" s="221"/>
      <c r="Q49" s="221"/>
    </row>
    <row r="50" spans="1:17" x14ac:dyDescent="0.25">
      <c r="M50" s="221"/>
      <c r="N50" s="221"/>
      <c r="O50" s="221"/>
      <c r="P50" s="221"/>
      <c r="Q50" s="221"/>
    </row>
    <row r="51" spans="1:17" x14ac:dyDescent="0.25">
      <c r="M51" s="221"/>
      <c r="N51" s="221"/>
      <c r="O51" s="221"/>
      <c r="P51" s="221"/>
      <c r="Q51" s="221"/>
    </row>
    <row r="52" spans="1:17" x14ac:dyDescent="0.25">
      <c r="M52" s="221"/>
      <c r="N52" s="221"/>
      <c r="O52" s="221"/>
      <c r="P52" s="221"/>
      <c r="Q52" s="221"/>
    </row>
    <row r="53" spans="1:17" x14ac:dyDescent="0.25">
      <c r="M53" s="221"/>
      <c r="N53" s="221"/>
      <c r="O53" s="221"/>
      <c r="P53" s="221"/>
      <c r="Q53" s="221"/>
    </row>
    <row r="54" spans="1:17" x14ac:dyDescent="0.25">
      <c r="M54" s="221"/>
      <c r="N54" s="221"/>
      <c r="O54" s="221"/>
      <c r="P54" s="221"/>
      <c r="Q54" s="221"/>
    </row>
    <row r="55" spans="1:17" x14ac:dyDescent="0.25">
      <c r="M55" s="221"/>
      <c r="N55" s="221"/>
      <c r="O55" s="221"/>
      <c r="P55" s="221"/>
      <c r="Q55" s="221"/>
    </row>
    <row r="56" spans="1:17" x14ac:dyDescent="0.25">
      <c r="M56" s="221"/>
      <c r="N56" s="221"/>
      <c r="O56" s="221"/>
      <c r="P56" s="221"/>
      <c r="Q56" s="221"/>
    </row>
    <row r="57" spans="1:17" x14ac:dyDescent="0.25">
      <c r="M57" s="221"/>
      <c r="N57" s="221"/>
      <c r="O57" s="221"/>
      <c r="P57" s="221"/>
      <c r="Q57" s="221"/>
    </row>
    <row r="58" spans="1:17" x14ac:dyDescent="0.25">
      <c r="M58" s="221"/>
      <c r="N58" s="221"/>
      <c r="O58" s="221"/>
      <c r="P58" s="221"/>
      <c r="Q58" s="221"/>
    </row>
    <row r="60" spans="1:17" ht="15.75" thickBot="1" x14ac:dyDescent="0.3"/>
    <row r="61" spans="1:17" ht="15.75" thickBot="1" x14ac:dyDescent="0.3">
      <c r="Q61" s="225"/>
    </row>
    <row r="62" spans="1:17" x14ac:dyDescent="0.25">
      <c r="M62" s="223"/>
      <c r="N62" s="224"/>
      <c r="O62" s="224"/>
      <c r="P62" s="224"/>
      <c r="Q62" s="224"/>
    </row>
    <row r="63" spans="1:17" x14ac:dyDescent="0.25">
      <c r="M63" s="221"/>
      <c r="N63" s="221"/>
      <c r="O63" s="221"/>
      <c r="P63" s="221"/>
      <c r="Q63" s="221"/>
    </row>
    <row r="64" spans="1:17" x14ac:dyDescent="0.25">
      <c r="M64" s="221"/>
      <c r="N64" s="221"/>
      <c r="O64" s="221"/>
      <c r="P64" s="221"/>
      <c r="Q64" s="221"/>
    </row>
    <row r="65" spans="13:17" x14ac:dyDescent="0.25">
      <c r="M65" s="221"/>
      <c r="N65" s="221"/>
      <c r="O65" s="221"/>
      <c r="P65" s="221"/>
      <c r="Q65" s="221"/>
    </row>
    <row r="66" spans="13:17" x14ac:dyDescent="0.25">
      <c r="M66" s="221"/>
      <c r="N66" s="221"/>
      <c r="O66" s="221"/>
      <c r="P66" s="221"/>
      <c r="Q66" s="221"/>
    </row>
    <row r="67" spans="13:17" x14ac:dyDescent="0.25">
      <c r="M67" s="221"/>
      <c r="N67" s="221"/>
      <c r="O67" s="221"/>
      <c r="P67" s="221"/>
      <c r="Q67" s="221"/>
    </row>
    <row r="68" spans="13:17" x14ac:dyDescent="0.25">
      <c r="M68" s="221"/>
      <c r="N68" s="221"/>
      <c r="O68" s="221"/>
      <c r="P68" s="221"/>
      <c r="Q68" s="221"/>
    </row>
    <row r="69" spans="13:17" x14ac:dyDescent="0.25">
      <c r="M69" s="226"/>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27" t="s">
        <v>25</v>
      </c>
      <c r="B2" s="228"/>
      <c r="C2" s="228"/>
      <c r="D2" s="228"/>
      <c r="E2" s="229"/>
      <c r="G2" s="227" t="s">
        <v>30</v>
      </c>
      <c r="H2" s="228"/>
      <c r="I2" s="228"/>
      <c r="J2" s="228"/>
      <c r="K2" s="229"/>
      <c r="M2" s="227" t="s">
        <v>31</v>
      </c>
      <c r="N2" s="228"/>
      <c r="O2" s="228"/>
      <c r="P2" s="228"/>
      <c r="Q2" s="229"/>
      <c r="R2" s="10"/>
      <c r="S2" s="227" t="s">
        <v>32</v>
      </c>
      <c r="T2" s="228"/>
      <c r="U2" s="228"/>
      <c r="V2" s="228"/>
      <c r="W2" s="229"/>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27" t="s">
        <v>198</v>
      </c>
      <c r="B22" s="228"/>
      <c r="C22" s="228"/>
      <c r="D22" s="228"/>
      <c r="E22" s="229"/>
      <c r="G22" s="227" t="s">
        <v>199</v>
      </c>
      <c r="H22" s="228"/>
      <c r="I22" s="228"/>
      <c r="J22" s="228"/>
      <c r="K22" s="229"/>
      <c r="L22" s="22"/>
      <c r="M22" s="227" t="s">
        <v>35</v>
      </c>
      <c r="N22" s="228"/>
      <c r="O22" s="228"/>
      <c r="P22" s="228"/>
      <c r="Q22" s="229"/>
      <c r="S22" s="227" t="s">
        <v>36</v>
      </c>
      <c r="T22" s="228"/>
      <c r="U22" s="228"/>
      <c r="V22" s="228"/>
      <c r="W22" s="229"/>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0" t="s">
        <v>184</v>
      </c>
      <c r="B48" s="17">
        <v>2015</v>
      </c>
      <c r="C48" s="17">
        <v>2025</v>
      </c>
      <c r="D48" s="17">
        <v>2035</v>
      </c>
      <c r="E48" s="17">
        <v>2050</v>
      </c>
    </row>
    <row r="49" spans="1:5" ht="74.25" customHeight="1" x14ac:dyDescent="0.25">
      <c r="A49" s="230"/>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2017-05-02T16:12:46Z</dcterms:modified>
</cp:coreProperties>
</file>