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S:\Move_to_Shared\Region\Energy\Act 174 Data\Town Data\Bloomfield\"/>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D17" i="201"/>
  <c r="G17" i="201" s="1"/>
  <c r="D16" i="201"/>
  <c r="D15" i="201"/>
  <c r="G15" i="201" s="1"/>
  <c r="D14" i="201"/>
  <c r="G14" i="201" s="1"/>
  <c r="G13" i="201"/>
  <c r="D13" i="201"/>
  <c r="D12" i="201"/>
  <c r="D11" i="201"/>
  <c r="G11" i="201" s="1"/>
  <c r="G10" i="201"/>
  <c r="D10" i="201"/>
  <c r="D9" i="201"/>
  <c r="G9" i="201" s="1"/>
  <c r="D8" i="201"/>
  <c r="E5" i="201"/>
  <c r="E4" i="201"/>
  <c r="D3" i="201"/>
  <c r="C3" i="201"/>
  <c r="B3" i="201"/>
  <c r="E3" i="201" l="1"/>
  <c r="E26" i="201" s="1"/>
  <c r="E17" i="201"/>
  <c r="E10" i="201"/>
  <c r="H10" i="201" s="1"/>
  <c r="G8" i="201"/>
  <c r="E56" i="201"/>
  <c r="E52" i="201"/>
  <c r="H52" i="201" s="1"/>
  <c r="E50" i="201"/>
  <c r="H50" i="201" s="1"/>
  <c r="E48" i="201"/>
  <c r="E44" i="201"/>
  <c r="H44" i="201" s="1"/>
  <c r="E42" i="201"/>
  <c r="H42" i="201" s="1"/>
  <c r="G20" i="201"/>
  <c r="H20" i="201" s="1"/>
  <c r="E20" i="201"/>
  <c r="E24" i="201"/>
  <c r="H24" i="201" s="1"/>
  <c r="E32" i="201"/>
  <c r="H32" i="201" s="1"/>
  <c r="E40" i="201"/>
  <c r="G16" i="201"/>
  <c r="E16" i="201"/>
  <c r="E18" i="201"/>
  <c r="H18" i="201" s="1"/>
  <c r="E30" i="201"/>
  <c r="E38" i="201"/>
  <c r="G12" i="201"/>
  <c r="E12" i="201"/>
  <c r="E14" i="201"/>
  <c r="H14" i="201" s="1"/>
  <c r="E21" i="201"/>
  <c r="H21" i="201" s="1"/>
  <c r="E28" i="201"/>
  <c r="H28" i="201" s="1"/>
  <c r="E36" i="201"/>
  <c r="H17" i="201"/>
  <c r="H35" i="201"/>
  <c r="H51" i="201"/>
  <c r="E11" i="201"/>
  <c r="H11" i="201" s="1"/>
  <c r="E15" i="201"/>
  <c r="H15" i="201" s="1"/>
  <c r="E19" i="201"/>
  <c r="H19" i="201" s="1"/>
  <c r="E23" i="201"/>
  <c r="H23" i="201" s="1"/>
  <c r="E25" i="201"/>
  <c r="H25" i="201" s="1"/>
  <c r="E27" i="201"/>
  <c r="H27" i="201" s="1"/>
  <c r="E29" i="201"/>
  <c r="H29" i="201" s="1"/>
  <c r="E31" i="201"/>
  <c r="H31" i="201" s="1"/>
  <c r="E33" i="201"/>
  <c r="H33" i="201" s="1"/>
  <c r="E35" i="201"/>
  <c r="E37" i="201"/>
  <c r="H37" i="201" s="1"/>
  <c r="E39" i="201"/>
  <c r="H39" i="201" s="1"/>
  <c r="E41" i="201"/>
  <c r="H41" i="201" s="1"/>
  <c r="E43" i="201"/>
  <c r="H43" i="201" s="1"/>
  <c r="E45" i="201"/>
  <c r="H45" i="201" s="1"/>
  <c r="E47" i="201"/>
  <c r="H47" i="201" s="1"/>
  <c r="E49" i="201"/>
  <c r="H49" i="201" s="1"/>
  <c r="E51" i="201"/>
  <c r="E53" i="201"/>
  <c r="H53" i="201" s="1"/>
  <c r="E55" i="201"/>
  <c r="H55" i="201" s="1"/>
  <c r="E57" i="201"/>
  <c r="H57" i="201" s="1"/>
  <c r="H26" i="201"/>
  <c r="H30" i="201"/>
  <c r="H36" i="201"/>
  <c r="H38" i="201"/>
  <c r="H40" i="201"/>
  <c r="H48" i="201"/>
  <c r="H56" i="201"/>
  <c r="H16" i="201" l="1"/>
  <c r="E9" i="201"/>
  <c r="H9" i="201" s="1"/>
  <c r="E22" i="201"/>
  <c r="H22" i="201" s="1"/>
  <c r="E13" i="201"/>
  <c r="H13" i="201" s="1"/>
  <c r="E46" i="201"/>
  <c r="H46" i="201" s="1"/>
  <c r="E54" i="201"/>
  <c r="H54" i="201" s="1"/>
  <c r="E8" i="201"/>
  <c r="H8" i="201" s="1"/>
  <c r="H58" i="201" s="1"/>
  <c r="E34" i="201"/>
  <c r="H34" i="201" s="1"/>
  <c r="H12" i="201"/>
  <c r="Q20" i="198" l="1"/>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Q69" i="198" s="1"/>
  <c r="D30" i="198"/>
  <c r="P69" i="198" s="1"/>
  <c r="C30" i="198"/>
  <c r="O69" i="198" s="1"/>
  <c r="B30" i="198"/>
  <c r="K14" i="198"/>
  <c r="J14" i="198"/>
  <c r="I14" i="198"/>
  <c r="H14" i="198"/>
  <c r="E14" i="198"/>
  <c r="Q29" i="198" s="1"/>
  <c r="D14" i="198"/>
  <c r="P29" i="198" s="1"/>
  <c r="C14" i="198"/>
  <c r="B14" i="198"/>
  <c r="N29" i="198" s="1"/>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88" i="197"/>
  <c r="T96" i="197"/>
  <c r="AE120" i="197"/>
  <c r="AA124" i="197"/>
  <c r="AB140" i="197"/>
  <c r="W144" i="197"/>
  <c r="AE152" i="197"/>
  <c r="AA156" i="197"/>
  <c r="AB168" i="197"/>
  <c r="AB172" i="197"/>
  <c r="T180" i="197"/>
  <c r="AE180" i="197"/>
  <c r="V188" i="197"/>
  <c r="AD188" i="197"/>
  <c r="AD196" i="197"/>
  <c r="Y200" i="197"/>
  <c r="Y208" i="197"/>
  <c r="V212" i="197"/>
  <c r="V220" i="197"/>
  <c r="AD220" i="197"/>
  <c r="AD228" i="197"/>
  <c r="Y232" i="197"/>
  <c r="AD236" i="197"/>
  <c r="X237" i="197"/>
  <c r="V244" i="197"/>
  <c r="AB244" i="197"/>
  <c r="AC248" i="197"/>
  <c r="R12" i="197"/>
  <c r="R60" i="197"/>
  <c r="R76"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AD181" i="197" s="1"/>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U245" i="197" s="1"/>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O29" i="198" l="1"/>
  <c r="V240" i="197"/>
  <c r="T236" i="197"/>
  <c r="Y224" i="197"/>
  <c r="AD212" i="197"/>
  <c r="V204" i="197"/>
  <c r="Y192" i="197"/>
  <c r="T176" i="197"/>
  <c r="X160" i="197"/>
  <c r="AA145" i="197"/>
  <c r="X128" i="197"/>
  <c r="AB112"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N58" i="198" s="1"/>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P58" i="198" l="1"/>
  <c r="O58" i="198"/>
  <c r="Q58" i="198"/>
  <c r="AH246" i="197"/>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E41" i="186"/>
  <c r="F38" i="186" s="1"/>
  <c r="F32" i="186" l="1"/>
  <c r="F39" i="186"/>
  <c r="F27" i="186"/>
  <c r="F33" i="186"/>
  <c r="F40" i="186"/>
  <c r="F28" i="186"/>
  <c r="F35" i="186"/>
  <c r="F29" i="186"/>
  <c r="F37" i="186"/>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C83" i="188" l="1"/>
  <c r="B83" i="188"/>
  <c r="D7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<sst xmlns="http://schemas.openxmlformats.org/spreadsheetml/2006/main" count="1659" uniqueCount="573">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</sst>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16" xfId="0" applyFont="1" applyBorder="1" applyAlignment="1">
      <alignment horizontal="left" vertical="center" wrapText="1"/>
    </xf>
    <xf numFmtId="0" fontId="0" fillId="0" borderId="0" xfId="0" applyFont="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238.00000000000003</c:v>
                </c:pt>
                <c:pt idx="1">
                  <c:v>850.00000000000011</c:v>
                </c:pt>
                <c:pt idx="2">
                  <c:v>1394.0000000000002</c:v>
                </c:pt>
                <c:pt idx="3">
                  <c:v>2159.0000000000005</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31603</c:v>
                </c:pt>
                <c:pt idx="1">
                  <c:v>24990.000000000004</c:v>
                </c:pt>
                <c:pt idx="2">
                  <c:v>19176.000000000004</c:v>
                </c:pt>
                <c:pt idx="3">
                  <c:v>12750.000000000002</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3519</c:v>
                </c:pt>
                <c:pt idx="1">
                  <c:v>3179.0000000000005</c:v>
                </c:pt>
                <c:pt idx="2">
                  <c:v>1734.0000000000002</c:v>
                </c:pt>
                <c:pt idx="3">
                  <c:v>527</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391</c:v>
                </c:pt>
                <c:pt idx="1">
                  <c:v>1870</c:v>
                </c:pt>
                <c:pt idx="2">
                  <c:v>3825</c:v>
                </c:pt>
                <c:pt idx="3">
                  <c:v>4590.0000000000009</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272</c:v>
                </c:pt>
                <c:pt idx="1">
                  <c:v>782</c:v>
                </c:pt>
                <c:pt idx="2">
                  <c:v>1530</c:v>
                </c:pt>
                <c:pt idx="3">
                  <c:v>2142.0000000000005</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2040</c:v>
                </c:pt>
                <c:pt idx="1">
                  <c:v>2363</c:v>
                </c:pt>
                <c:pt idx="2">
                  <c:v>2737</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12019</c:v>
                </c:pt>
                <c:pt idx="1">
                  <c:v>9401</c:v>
                </c:pt>
                <c:pt idx="2">
                  <c:v>6018.0000000000009</c:v>
                </c:pt>
                <c:pt idx="3">
                  <c:v>2108</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28798</c:v>
                </c:pt>
                <c:pt idx="1">
                  <c:v>19346</c:v>
                </c:pt>
                <c:pt idx="2">
                  <c:v>10217</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5372.0000000000009</c:v>
                </c:pt>
                <c:pt idx="1">
                  <c:v>6001</c:v>
                </c:pt>
                <c:pt idx="2">
                  <c:v>5389</c:v>
                </c:pt>
                <c:pt idx="3">
                  <c:v>5032</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2227.0000000000005</c:v>
                </c:pt>
                <c:pt idx="1">
                  <c:v>3723.0000000000005</c:v>
                </c:pt>
                <c:pt idx="2">
                  <c:v>7888.0000000000009</c:v>
                </c:pt>
                <c:pt idx="3">
                  <c:v>11577</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324315208"/>
        <c:axId val="324315600"/>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324315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4315600"/>
        <c:crosses val="autoZero"/>
        <c:auto val="1"/>
        <c:lblAlgn val="ctr"/>
        <c:lblOffset val="100"/>
        <c:noMultiLvlLbl val="0"/>
      </c:catAx>
      <c:valAx>
        <c:axId val="324315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4315208"/>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152</c:v>
                </c:pt>
                <c:pt idx="1">
                  <c:v>930.99999999999989</c:v>
                </c:pt>
                <c:pt idx="2">
                  <c:v>1748</c:v>
                </c:pt>
                <c:pt idx="3">
                  <c:v>3116</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7752</c:v>
                </c:pt>
                <c:pt idx="1">
                  <c:v>5776</c:v>
                </c:pt>
                <c:pt idx="2">
                  <c:v>3553</c:v>
                </c:pt>
                <c:pt idx="3">
                  <c:v>19</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14136</c:v>
                </c:pt>
                <c:pt idx="1">
                  <c:v>14003</c:v>
                </c:pt>
                <c:pt idx="2">
                  <c:v>13565.999999999998</c:v>
                </c:pt>
                <c:pt idx="3">
                  <c:v>13148</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5681</c:v>
                </c:pt>
                <c:pt idx="1">
                  <c:v>4902</c:v>
                </c:pt>
                <c:pt idx="2">
                  <c:v>3971</c:v>
                </c:pt>
                <c:pt idx="3">
                  <c:v>2527</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797.99999999999989</c:v>
                </c:pt>
                <c:pt idx="1">
                  <c:v>589</c:v>
                </c:pt>
                <c:pt idx="2">
                  <c:v>361</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2679</c:v>
                </c:pt>
                <c:pt idx="1">
                  <c:v>3667</c:v>
                </c:pt>
                <c:pt idx="2">
                  <c:v>4636</c:v>
                </c:pt>
                <c:pt idx="3">
                  <c:v>6308</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266</c:v>
                </c:pt>
                <c:pt idx="1">
                  <c:v>1653</c:v>
                </c:pt>
                <c:pt idx="2">
                  <c:v>3135</c:v>
                </c:pt>
                <c:pt idx="3">
                  <c:v>5567</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324316384"/>
        <c:axId val="323710112"/>
      </c:barChart>
      <c:catAx>
        <c:axId val="32431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3710112"/>
        <c:crosses val="autoZero"/>
        <c:auto val="1"/>
        <c:lblAlgn val="ctr"/>
        <c:lblOffset val="100"/>
        <c:noMultiLvlLbl val="0"/>
      </c:catAx>
      <c:valAx>
        <c:axId val="323710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43163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55537</c:v>
                </c:pt>
                <c:pt idx="1">
                  <c:v>39786</c:v>
                </c:pt>
                <c:pt idx="2">
                  <c:v>22154</c:v>
                </c:pt>
                <c:pt idx="3">
                  <c:v>1728.9999999999998</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7410</c:v>
                </c:pt>
                <c:pt idx="1">
                  <c:v>4939.9999999999991</c:v>
                </c:pt>
                <c:pt idx="2">
                  <c:v>2679</c:v>
                </c:pt>
                <c:pt idx="3">
                  <c:v>304</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56.999999999999993</c:v>
                </c:pt>
                <c:pt idx="1">
                  <c:v>1558</c:v>
                </c:pt>
                <c:pt idx="2">
                  <c:v>4522</c:v>
                </c:pt>
                <c:pt idx="3">
                  <c:v>8759</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1861.9999999999998</c:v>
                </c:pt>
                <c:pt idx="1">
                  <c:v>1159</c:v>
                </c:pt>
                <c:pt idx="2">
                  <c:v>627</c:v>
                </c:pt>
                <c:pt idx="3">
                  <c:v>19</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152</c:v>
                </c:pt>
                <c:pt idx="1">
                  <c:v>722</c:v>
                </c:pt>
                <c:pt idx="2">
                  <c:v>1159</c:v>
                </c:pt>
                <c:pt idx="3">
                  <c:v>1653</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5016</c:v>
                </c:pt>
                <c:pt idx="2">
                  <c:v>14516</c:v>
                </c:pt>
                <c:pt idx="3">
                  <c:v>26258</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323710896"/>
        <c:axId val="323711288"/>
      </c:barChart>
      <c:catAx>
        <c:axId val="323710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3711288"/>
        <c:crosses val="autoZero"/>
        <c:auto val="1"/>
        <c:lblAlgn val="ctr"/>
        <c:lblOffset val="100"/>
        <c:noMultiLvlLbl val="0"/>
      </c:catAx>
      <c:valAx>
        <c:axId val="32371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2371089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53578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2.8421445882386751E-2</v>
      </c>
      <c r="I4" s="4">
        <f>res_share_state_target*'LEAP Statewide'!I4</f>
        <v>0.17185060300978033</v>
      </c>
      <c r="J4" s="4">
        <f>res_share_state_target*'LEAP Statewide'!J4</f>
        <v>0.32420277221652793</v>
      </c>
      <c r="K4" s="5">
        <f>res_share_state_target*'LEAP Statewide'!K4</f>
        <v>0.59685036353012177</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3.1341220429631084E-3</v>
      </c>
      <c r="U4" s="4">
        <f ca="1">com_share_state_target*'LEAP Statewide'!U4</f>
        <v>1.9595869860856718E-2</v>
      </c>
      <c r="V4" s="4">
        <f ca="1">com_share_state_target*'LEAP Statewide'!V4</f>
        <v>3.6765077266118211E-2</v>
      </c>
      <c r="W4" s="5">
        <f ca="1">com_share_state_target*'LEAP Statewide'!W4</f>
        <v>6.5375351546662505E-2</v>
      </c>
      <c r="Y4" s="23"/>
    </row>
    <row r="5" spans="1:25" x14ac:dyDescent="0.25">
      <c r="A5" s="1" t="s">
        <v>3</v>
      </c>
      <c r="B5" s="4">
        <f>res_share_state_target*'LEAP Statewide'!B5</f>
        <v>2.5047225388675485</v>
      </c>
      <c r="C5" s="4">
        <f>res_share_state_target*'LEAP Statewide'!C5</f>
        <v>2.3074248273351659</v>
      </c>
      <c r="D5" s="4">
        <f>res_share_state_target*'LEAP Statewide'!D5</f>
        <v>2.1471410918356595</v>
      </c>
      <c r="E5" s="5">
        <f>res_share_state_target*'LEAP Statewide'!E5</f>
        <v>1.9445556694414377</v>
      </c>
      <c r="G5" s="1" t="s">
        <v>3</v>
      </c>
      <c r="H5" s="4">
        <f>res_share_state_target*'LEAP Statewide'!H5</f>
        <v>2.5123236232314428</v>
      </c>
      <c r="I5" s="4">
        <f>res_share_state_target*'LEAP Statewide'!I5</f>
        <v>2.3583190443803703</v>
      </c>
      <c r="J5" s="4">
        <f>res_share_state_target*'LEAP Statewide'!J5</f>
        <v>2.2016706100983781</v>
      </c>
      <c r="K5" s="5">
        <f>res_share_state_target*'LEAP Statewide'!K5</f>
        <v>2.0965773567193202</v>
      </c>
      <c r="L5" s="21"/>
      <c r="M5" s="1" t="s">
        <v>14</v>
      </c>
      <c r="N5" s="4">
        <f ca="1">com_share_state_target*'LEAP Statewide'!N5</f>
        <v>0.29469875714657962</v>
      </c>
      <c r="O5" s="4">
        <f ca="1">com_share_state_target*'LEAP Statewide'!O5</f>
        <v>0.23810199015714875</v>
      </c>
      <c r="P5" s="4">
        <f ca="1">com_share_state_target*'LEAP Statewide'!P5</f>
        <v>0.17290920882658117</v>
      </c>
      <c r="Q5" s="5">
        <f ca="1">com_share_state_target*'LEAP Statewide'!Q5</f>
        <v>7.0593816890042821E-2</v>
      </c>
      <c r="R5" s="2"/>
      <c r="S5" s="1" t="s">
        <v>14</v>
      </c>
      <c r="T5" s="4">
        <f ca="1">com_share_state_target*'LEAP Statewide'!T5</f>
        <v>0.29146574290323179</v>
      </c>
      <c r="U5" s="4">
        <f ca="1">com_share_state_target*'LEAP Statewide'!U5</f>
        <v>0.21801165929436825</v>
      </c>
      <c r="V5" s="4">
        <f ca="1">com_share_state_target*'LEAP Statewide'!V5</f>
        <v>0.13520085211063912</v>
      </c>
      <c r="W5" s="5">
        <f ca="1">com_share_state_target*'LEAP Statewide'!W5</f>
        <v>3.5296908445021412E-3</v>
      </c>
      <c r="Y5" s="92"/>
    </row>
    <row r="6" spans="1:25" x14ac:dyDescent="0.25">
      <c r="A6" s="1" t="s">
        <v>4</v>
      </c>
      <c r="B6" s="4">
        <f>res_share_state_target*'LEAP Statewide'!B6</f>
        <v>0.38005421819470653</v>
      </c>
      <c r="C6" s="4">
        <f>res_share_state_target*'LEAP Statewide'!C6</f>
        <v>0.30800915770214476</v>
      </c>
      <c r="D6" s="4">
        <f>res_share_state_target*'LEAP Statewide'!D6</f>
        <v>0.209856024829251</v>
      </c>
      <c r="E6" s="5">
        <f>res_share_state_target*'LEAP Statewide'!E6</f>
        <v>8.2950964145105513E-2</v>
      </c>
      <c r="G6" s="1" t="s">
        <v>4</v>
      </c>
      <c r="H6" s="4">
        <f>res_share_state_target*'LEAP Statewide'!H6</f>
        <v>0.38236759169676127</v>
      </c>
      <c r="I6" s="4">
        <f>res_share_state_target*'LEAP Statewide'!I6</f>
        <v>0.3139578324217141</v>
      </c>
      <c r="J6" s="4">
        <f>res_share_state_target*'LEAP Statewide'!J6</f>
        <v>0.1827565066623241</v>
      </c>
      <c r="K6" s="5">
        <f>res_share_state_target*'LEAP Statewide'!K6</f>
        <v>5.9156265266828233E-2</v>
      </c>
      <c r="L6" s="21"/>
      <c r="M6" s="1" t="s">
        <v>15</v>
      </c>
      <c r="N6" s="89">
        <f ca="1">com_share_state_target*'LEAP Statewide'!N6</f>
        <v>0.54147283256823797</v>
      </c>
      <c r="O6" s="89">
        <f ca="1">com_share_state_target*'LEAP Statewide'!O6</f>
        <v>0.54710208089783186</v>
      </c>
      <c r="P6" s="89">
        <f ca="1">com_share_state_target*'LEAP Statewide'!P6</f>
        <v>0.54200532903184817</v>
      </c>
      <c r="Q6" s="90">
        <f ca="1">com_share_state_target*'LEAP Statewide'!Q6</f>
        <v>0.54451566950315355</v>
      </c>
      <c r="R6" s="4"/>
      <c r="S6" s="1" t="s">
        <v>15</v>
      </c>
      <c r="T6" s="89">
        <f ca="1">com_share_state_target*'LEAP Statewide'!T6</f>
        <v>0.54146522547590059</v>
      </c>
      <c r="U6" s="89">
        <f ca="1">com_share_state_target*'LEAP Statewide'!U6</f>
        <v>0.54707925962082005</v>
      </c>
      <c r="V6" s="89">
        <f ca="1">com_share_state_target*'LEAP Statewide'!V6</f>
        <v>0.54197490066249909</v>
      </c>
      <c r="W6" s="90">
        <f ca="1">com_share_state_target*'LEAP Statewide'!W6</f>
        <v>0.54454609787250274</v>
      </c>
      <c r="Y6" s="92"/>
    </row>
    <row r="7" spans="1:25" x14ac:dyDescent="0.25">
      <c r="A7" s="1" t="s">
        <v>5</v>
      </c>
      <c r="B7" s="4">
        <f>res_share_state_target*'LEAP Statewide'!B7</f>
        <v>3.8335903748335613E-2</v>
      </c>
      <c r="C7" s="4">
        <f>res_share_state_target*'LEAP Statewide'!C7</f>
        <v>0.21580469954882031</v>
      </c>
      <c r="D7" s="4">
        <f>res_share_state_target*'LEAP Statewide'!D7</f>
        <v>0.40682325443276846</v>
      </c>
      <c r="E7" s="5">
        <f>res_share_state_target*'LEAP Statewide'!E7</f>
        <v>0.56115831521270576</v>
      </c>
      <c r="G7" s="1" t="s">
        <v>5</v>
      </c>
      <c r="H7" s="4">
        <f>res_share_state_target*'LEAP Statewide'!H7</f>
        <v>6.7087831559587321E-2</v>
      </c>
      <c r="I7" s="4">
        <f>res_share_state_target*'LEAP Statewide'!I7</f>
        <v>0.37575795311946203</v>
      </c>
      <c r="J7" s="4">
        <f>res_share_state_target*'LEAP Statewide'!J7</f>
        <v>0.72573831578745696</v>
      </c>
      <c r="K7" s="5">
        <f>res_share_state_target*'LEAP Statewide'!K7</f>
        <v>0.9997078348165106</v>
      </c>
      <c r="M7" s="1" t="s">
        <v>8</v>
      </c>
      <c r="N7" s="4">
        <f ca="1">com_share_state_target*'LEAP Statewide'!N7</f>
        <v>0.22037746501126515</v>
      </c>
      <c r="O7" s="4">
        <f ca="1">com_share_state_target*'LEAP Statewide'!O7</f>
        <v>0.22631099703435065</v>
      </c>
      <c r="P7" s="4">
        <f ca="1">com_share_state_target*'LEAP Statewide'!P7</f>
        <v>0.22798455734855425</v>
      </c>
      <c r="Q7" s="5">
        <f ca="1">com_share_state_target*'LEAP Statewide'!Q7</f>
        <v>0.23536343691572467</v>
      </c>
      <c r="R7" s="4"/>
      <c r="S7" s="1" t="s">
        <v>8</v>
      </c>
      <c r="T7" s="4">
        <f ca="1">com_share_state_target*'LEAP Statewide'!T7</f>
        <v>0.21414725638702536</v>
      </c>
      <c r="U7" s="4">
        <f ca="1">com_share_state_target*'LEAP Statewide'!U7</f>
        <v>0.18711165022029991</v>
      </c>
      <c r="V7" s="4">
        <f ca="1">com_share_state_target*'LEAP Statewide'!V7</f>
        <v>0.1544696170009924</v>
      </c>
      <c r="W7" s="5">
        <f ca="1">com_share_state_target*'LEAP Statewide'!W7</f>
        <v>0.10459751963772509</v>
      </c>
      <c r="Y7" s="92"/>
    </row>
    <row r="8" spans="1:25" x14ac:dyDescent="0.25">
      <c r="A8" s="1" t="s">
        <v>6</v>
      </c>
      <c r="B8" s="4">
        <f>res_share_state_target*'LEAP Statewide'!B8</f>
        <v>4.2962650752445082E-3</v>
      </c>
      <c r="C8" s="4">
        <f>res_share_state_target*'LEAP Statewide'!C8</f>
        <v>3.1726265171036369E-2</v>
      </c>
      <c r="D8" s="4">
        <f>res_share_state_target*'LEAP Statewide'!D8</f>
        <v>0.10806759073884264</v>
      </c>
      <c r="E8" s="5">
        <f>res_share_state_target*'LEAP Statewide'!E8</f>
        <v>0.22439722969930934</v>
      </c>
      <c r="G8" s="1" t="s">
        <v>6</v>
      </c>
      <c r="H8" s="4">
        <f>res_share_state_target*'LEAP Statewide'!H8</f>
        <v>1.8506988016437884E-2</v>
      </c>
      <c r="I8" s="4">
        <f>res_share_state_target*'LEAP Statewide'!I8</f>
        <v>0.11500771124500685</v>
      </c>
      <c r="J8" s="4">
        <f>res_share_state_target*'LEAP Statewide'!J8</f>
        <v>0.25017482015077636</v>
      </c>
      <c r="K8" s="5">
        <f>res_share_state_target*'LEAP Statewide'!K8</f>
        <v>0.41508530265439253</v>
      </c>
      <c r="M8" s="1" t="s">
        <v>9</v>
      </c>
      <c r="N8" s="4">
        <f ca="1">com_share_state_target*'LEAP Statewide'!N8</f>
        <v>0.21231394713373872</v>
      </c>
      <c r="O8" s="4">
        <f ca="1">com_share_state_target*'LEAP Statewide'!O8</f>
        <v>0.2578804302341004</v>
      </c>
      <c r="P8" s="4">
        <f ca="1">com_share_state_target*'LEAP Statewide'!P8</f>
        <v>0.30131692748002115</v>
      </c>
      <c r="Q8" s="5">
        <f ca="1">com_share_state_target*'LEAP Statewide'!Q8</f>
        <v>0.37784427639314949</v>
      </c>
      <c r="R8" s="4"/>
      <c r="S8" s="1" t="s">
        <v>9</v>
      </c>
      <c r="T8" s="4">
        <f ca="1">com_share_state_target*'LEAP Statewide'!T8</f>
        <v>0.19686394259670456</v>
      </c>
      <c r="U8" s="4">
        <f ca="1">com_share_state_target*'LEAP Statewide'!U8</f>
        <v>0.16129317882754074</v>
      </c>
      <c r="V8" s="4">
        <f ca="1">com_share_state_target*'LEAP Statewide'!V8</f>
        <v>0.12006273835943382</v>
      </c>
      <c r="W8" s="5">
        <f ca="1">com_share_state_target*'LEAP Statewide'!W8</f>
        <v>5.5562202431559564E-2</v>
      </c>
      <c r="Y8" s="23"/>
    </row>
    <row r="9" spans="1:25" x14ac:dyDescent="0.25">
      <c r="A9" s="1" t="s">
        <v>7</v>
      </c>
      <c r="B9" s="4">
        <f>res_share_state_target*'LEAP Statewide'!B9</f>
        <v>0.32155891678560822</v>
      </c>
      <c r="C9" s="4">
        <f>res_share_state_target*'LEAP Statewide'!C9</f>
        <v>0.25810638644353545</v>
      </c>
      <c r="D9" s="4">
        <f>res_share_state_target*'LEAP Statewide'!D9</f>
        <v>0.19696722960351748</v>
      </c>
      <c r="E9" s="5">
        <f>res_share_state_target*'LEAP Statewide'!E9</f>
        <v>9.7492169015163846E-2</v>
      </c>
      <c r="G9" s="1" t="s">
        <v>7</v>
      </c>
      <c r="H9" s="4">
        <f>res_share_state_target*'LEAP Statewide'!H9</f>
        <v>0.31561024206603888</v>
      </c>
      <c r="I9" s="4">
        <f>res_share_state_target*'LEAP Statewide'!I9</f>
        <v>0.227371567059094</v>
      </c>
      <c r="J9" s="4">
        <f>res_share_state_target*'LEAP Statewide'!J9</f>
        <v>0.14111578362533886</v>
      </c>
      <c r="K9" s="5">
        <f>res_share_state_target*'LEAP Statewide'!K9</f>
        <v>0</v>
      </c>
      <c r="L9" s="21"/>
      <c r="M9" s="1" t="s">
        <v>16</v>
      </c>
      <c r="N9" s="4">
        <f ca="1">com_share_state_target*'LEAP Statewide'!N9</f>
        <v>2.9895872885546154E-2</v>
      </c>
      <c r="O9" s="4">
        <f ca="1">com_share_state_target*'LEAP Statewide'!O9</f>
        <v>2.2288780548257055E-2</v>
      </c>
      <c r="P9" s="4">
        <f ca="1">com_share_state_target*'LEAP Statewide'!P9</f>
        <v>1.3692766207120375E-2</v>
      </c>
      <c r="Q9" s="5">
        <f ca="1">com_share_state_target*'LEAP Statewide'!Q9</f>
        <v>0</v>
      </c>
      <c r="R9" s="2"/>
      <c r="S9" s="1" t="s">
        <v>16</v>
      </c>
      <c r="T9" s="4">
        <f ca="1">com_share_state_target*'LEAP Statewide'!T9</f>
        <v>2.9873051608534283E-2</v>
      </c>
      <c r="U9" s="4">
        <f ca="1">com_share_state_target*'LEAP Statewide'!U9</f>
        <v>2.2250745086570611E-2</v>
      </c>
      <c r="V9" s="4">
        <f ca="1">com_share_state_target*'LEAP Statewide'!V9</f>
        <v>1.3662337837771219E-2</v>
      </c>
      <c r="W9" s="5">
        <f ca="1">com_share_state_target*'LEAP Statewide'!W9</f>
        <v>0</v>
      </c>
      <c r="Y9" s="23"/>
    </row>
    <row r="10" spans="1:25" x14ac:dyDescent="0.25">
      <c r="A10" s="1" t="s">
        <v>8</v>
      </c>
      <c r="B10" s="4">
        <f>res_share_state_target*'LEAP Statewide'!B10</f>
        <v>1.8549950667190329</v>
      </c>
      <c r="C10" s="4">
        <f>res_share_state_target*'LEAP Statewide'!C10</f>
        <v>1.4861772341057351</v>
      </c>
      <c r="D10" s="4">
        <f>res_share_state_target*'LEAP Statewide'!D10</f>
        <v>1.0978609676894044</v>
      </c>
      <c r="E10" s="5">
        <f>res_share_state_target*'LEAP Statewide'!E10</f>
        <v>0.3962478327090897</v>
      </c>
      <c r="G10" s="1" t="s">
        <v>8</v>
      </c>
      <c r="H10" s="4">
        <f>res_share_state_target*'LEAP Statewide'!H10</f>
        <v>1.8331832594139452</v>
      </c>
      <c r="I10" s="4">
        <f>res_share_state_target*'LEAP Statewide'!I10</f>
        <v>1.4005824145297099</v>
      </c>
      <c r="J10" s="4">
        <f>res_share_state_target*'LEAP Statewide'!J10</f>
        <v>0.98020940101347787</v>
      </c>
      <c r="K10" s="5">
        <f>res_share_state_target*'LEAP Statewide'!K10</f>
        <v>0.33081241079382717</v>
      </c>
      <c r="L10" s="21"/>
      <c r="M10" s="1" t="s">
        <v>17</v>
      </c>
      <c r="N10" s="4">
        <f ca="1">com_share_state_target*'LEAP Statewide'!N10</f>
        <v>9.5164725139486608E-2</v>
      </c>
      <c r="O10" s="4">
        <f ca="1">com_share_state_target*'LEAP Statewide'!O10</f>
        <v>0.10125039900931788</v>
      </c>
      <c r="P10" s="4">
        <f ca="1">com_share_state_target*'LEAP Statewide'!P10</f>
        <v>0.10573858348831845</v>
      </c>
      <c r="Q10" s="5">
        <f ca="1">com_share_state_target*'LEAP Statewide'!Q10</f>
        <v>0.11501923613981116</v>
      </c>
      <c r="R10" s="4"/>
      <c r="S10" s="1" t="s">
        <v>17</v>
      </c>
      <c r="T10" s="4">
        <f ca="1">com_share_state_target*'LEAP Statewide'!T10</f>
        <v>0.10216325008979257</v>
      </c>
      <c r="U10" s="4">
        <f ca="1">com_share_state_target*'LEAP Statewide'!U10</f>
        <v>0.14514332179547598</v>
      </c>
      <c r="V10" s="4">
        <f ca="1">com_share_state_target*'LEAP Statewide'!V10</f>
        <v>0.18806253676246104</v>
      </c>
      <c r="W10" s="5">
        <f ca="1">com_share_state_target*'LEAP Statewide'!W10</f>
        <v>0.26148619200197543</v>
      </c>
      <c r="Y10" s="23"/>
    </row>
    <row r="11" spans="1:25" x14ac:dyDescent="0.25">
      <c r="A11" s="1" t="s">
        <v>9</v>
      </c>
      <c r="B11" s="4">
        <f>res_share_state_target*'LEAP Statewide'!B11</f>
        <v>1.6015154272796068</v>
      </c>
      <c r="C11" s="4">
        <f>res_share_state_target*'LEAP Statewide'!C11</f>
        <v>2.0787313325606123</v>
      </c>
      <c r="D11" s="4">
        <f>res_share_state_target*'LEAP Statewide'!D11</f>
        <v>2.6716159129443544</v>
      </c>
      <c r="E11" s="5">
        <f>res_share_state_target*'LEAP Statewide'!E11</f>
        <v>3.9129060377611524</v>
      </c>
      <c r="G11" s="1" t="s">
        <v>9</v>
      </c>
      <c r="H11" s="4">
        <f>res_share_state_target*'LEAP Statewide'!H11</f>
        <v>1.4584167520810782</v>
      </c>
      <c r="I11" s="4">
        <f>res_share_state_target*'LEAP Statewide'!I11</f>
        <v>1.1599915703160173</v>
      </c>
      <c r="J11" s="4">
        <f>res_share_state_target*'LEAP Statewide'!J11</f>
        <v>0.64675313478873098</v>
      </c>
      <c r="K11" s="5">
        <f>res_share_state_target*'LEAP Statewide'!K11</f>
        <v>8.030710871418581E-2</v>
      </c>
      <c r="L11" s="21"/>
      <c r="M11" s="7" t="s">
        <v>12</v>
      </c>
      <c r="N11" s="8">
        <f ca="1">SUM(N4:N10)</f>
        <v>1.3939235998848543</v>
      </c>
      <c r="O11" s="8">
        <f ca="1">SUM(O4:O10)</f>
        <v>1.3929346778810066</v>
      </c>
      <c r="P11" s="8">
        <f ca="1">SUM(P4:P10)</f>
        <v>1.3636473723824438</v>
      </c>
      <c r="Q11" s="9">
        <f ca="1">SUM(Q4:Q10)</f>
        <v>1.3433364358418818</v>
      </c>
      <c r="R11" s="4"/>
      <c r="S11" s="7" t="s">
        <v>12</v>
      </c>
      <c r="T11" s="8">
        <f ca="1">SUM(T4:T10)</f>
        <v>1.3791125911041522</v>
      </c>
      <c r="U11" s="8">
        <f ca="1">SUM(U4:U10)</f>
        <v>1.3004856847059323</v>
      </c>
      <c r="V11" s="8">
        <f ca="1">SUM(V4:V10)</f>
        <v>1.1901980599999149</v>
      </c>
      <c r="W11" s="9">
        <f ca="1">SUM(W4:W10)</f>
        <v>1.0350970543349276</v>
      </c>
    </row>
    <row r="12" spans="1:25" x14ac:dyDescent="0.25">
      <c r="A12" s="1" t="s">
        <v>10</v>
      </c>
      <c r="B12" s="4">
        <f>res_share_state_target*'LEAP Statewide'!B12</f>
        <v>3.4300719396894426</v>
      </c>
      <c r="C12" s="4">
        <f>res_share_state_target*'LEAP Statewide'!C12</f>
        <v>2.6947496479649016</v>
      </c>
      <c r="D12" s="4">
        <f>res_share_state_target*'LEAP Statewide'!D12</f>
        <v>1.7763403676491718</v>
      </c>
      <c r="E12" s="5">
        <f>res_share_state_target*'LEAP Statewide'!E12</f>
        <v>0.4755634956366806</v>
      </c>
      <c r="G12" s="1" t="s">
        <v>10</v>
      </c>
      <c r="H12" s="4">
        <f>res_share_state_target*'LEAP Statewide'!H12</f>
        <v>3.3629841081298553</v>
      </c>
      <c r="I12" s="4">
        <f>res_share_state_target*'LEAP Statewide'!I12</f>
        <v>2.4098742252833043</v>
      </c>
      <c r="J12" s="4">
        <f>res_share_state_target*'LEAP Statewide'!J12</f>
        <v>1.4851857883191402</v>
      </c>
      <c r="K12" s="5">
        <f>res_share_state_target*'LEAP Statewide'!K12</f>
        <v>0</v>
      </c>
      <c r="L12" s="21"/>
    </row>
    <row r="13" spans="1:25" x14ac:dyDescent="0.25">
      <c r="A13" s="1" t="s">
        <v>11</v>
      </c>
      <c r="B13" s="4">
        <f>res_share_state_target*'LEAP Statewide'!B13</f>
        <v>0.21283036218903564</v>
      </c>
      <c r="C13" s="4">
        <f>res_share_state_target*'LEAP Statewide'!C13</f>
        <v>0.28190108532181274</v>
      </c>
      <c r="D13" s="4">
        <f>res_share_state_target*'LEAP Statewide'!D13</f>
        <v>0.34799747109480517</v>
      </c>
      <c r="E13" s="5">
        <f>res_share_state_target*'LEAP Statewide'!E13</f>
        <v>0.45011638711407853</v>
      </c>
      <c r="G13" s="1" t="s">
        <v>11</v>
      </c>
      <c r="H13" s="4">
        <f>res_share_state_target*'LEAP Statewide'!H13</f>
        <v>0.24488710928893698</v>
      </c>
      <c r="I13" s="4">
        <f>res_share_state_target*'LEAP Statewide'!I13</f>
        <v>0.44813349554088872</v>
      </c>
      <c r="J13" s="4">
        <f>res_share_state_target*'LEAP Statewide'!J13</f>
        <v>0.60379048403628588</v>
      </c>
      <c r="K13" s="5">
        <f>res_share_state_target*'LEAP Statewide'!K13</f>
        <v>0.75151590623892406</v>
      </c>
      <c r="L13" s="21"/>
      <c r="N13" s="21"/>
      <c r="O13" s="21"/>
      <c r="P13" s="21"/>
      <c r="Q13" s="21"/>
      <c r="T13" s="21"/>
      <c r="U13" s="21"/>
      <c r="V13" s="21"/>
      <c r="W13" s="21"/>
    </row>
    <row r="14" spans="1:25" x14ac:dyDescent="0.25">
      <c r="A14" s="7" t="s">
        <v>12</v>
      </c>
      <c r="B14" s="8">
        <f>SUM(B4:B13)</f>
        <v>10.348380638548562</v>
      </c>
      <c r="C14" s="8">
        <f>SUM(C4:C13)</f>
        <v>9.6626306361537644</v>
      </c>
      <c r="D14" s="8">
        <f>SUM(D4:D13)</f>
        <v>8.962669910817775</v>
      </c>
      <c r="E14" s="9">
        <f>SUM(E4:E13)</f>
        <v>8.1453881007347224</v>
      </c>
      <c r="G14" s="7" t="s">
        <v>12</v>
      </c>
      <c r="H14" s="8">
        <f>SUM(H4:H13)</f>
        <v>10.223788951366471</v>
      </c>
      <c r="I14" s="8">
        <f>SUM(I4:I13)</f>
        <v>8.980846416905349</v>
      </c>
      <c r="J14" s="8">
        <f>SUM(J4:J13)</f>
        <v>7.5415976166984366</v>
      </c>
      <c r="K14" s="9">
        <f>SUM(K4:K13)</f>
        <v>5.3300125487341106</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9.2534940082189419</v>
      </c>
      <c r="C24" s="4">
        <f>res_share_state_target*'LEAP Statewide'!C24*1000</f>
        <v>7.6010843638941301</v>
      </c>
      <c r="D24" s="4">
        <f>res_share_state_target*'LEAP Statewide'!D24*1000</f>
        <v>6.6096385772992443</v>
      </c>
      <c r="E24" s="5">
        <f>res_share_state_target*'LEAP Statewide'!E24*1000</f>
        <v>5.6181927907043576</v>
      </c>
      <c r="G24" s="1" t="s">
        <v>21</v>
      </c>
      <c r="H24" s="4">
        <f>res_share_state_target*'LEAP Statewide'!H24*1000</f>
        <v>9.2534940082189419</v>
      </c>
      <c r="I24" s="4">
        <f>res_share_state_target*'LEAP Statewide'!I24*1000</f>
        <v>7.6010843638941301</v>
      </c>
      <c r="J24" s="4">
        <f>res_share_state_target*'LEAP Statewide'!J24*1000</f>
        <v>3.6353012175145842</v>
      </c>
      <c r="K24" s="5">
        <f>res_share_state_target*'LEAP Statewide'!K24*1000</f>
        <v>0.33048192886496219</v>
      </c>
    </row>
    <row r="25" spans="1:16" x14ac:dyDescent="0.25">
      <c r="A25" s="1" t="s">
        <v>22</v>
      </c>
      <c r="B25" s="4">
        <f>res_share_state_target*'LEAP Statewide'!B25*1000</f>
        <v>1.3219277154598488</v>
      </c>
      <c r="C25" s="4">
        <f>res_share_state_target*'LEAP Statewide'!C25*1000</f>
        <v>0.99144578659488658</v>
      </c>
      <c r="D25" s="4">
        <f>res_share_state_target*'LEAP Statewide'!D25*1000</f>
        <v>0.99144578659488658</v>
      </c>
      <c r="E25" s="5">
        <f>res_share_state_target*'LEAP Statewide'!E25*1000</f>
        <v>0.66096385772992439</v>
      </c>
      <c r="G25" s="1" t="s">
        <v>22</v>
      </c>
      <c r="H25" s="4">
        <f>res_share_state_target*'LEAP Statewide'!H25*1000</f>
        <v>1.3219277154598488</v>
      </c>
      <c r="I25" s="4">
        <f>res_share_state_target*'LEAP Statewide'!I25*1000</f>
        <v>0.99144578659488658</v>
      </c>
      <c r="J25" s="4">
        <f>res_share_state_target*'LEAP Statewide'!J25*1000</f>
        <v>0.33048192886496219</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0.66096385772992439</v>
      </c>
      <c r="K26" s="5">
        <f>res_share_state_target*'LEAP Statewide'!K26*1000</f>
        <v>1.6524096443248111</v>
      </c>
    </row>
    <row r="27" spans="1:16" x14ac:dyDescent="0.25">
      <c r="A27" s="1" t="s">
        <v>20</v>
      </c>
      <c r="B27" s="4">
        <f>res_share_state_target*'LEAP Statewide'!B27*1000</f>
        <v>0.33048192886496219</v>
      </c>
      <c r="C27" s="4">
        <f>res_share_state_target*'LEAP Statewide'!C27*1000</f>
        <v>0.33048192886496219</v>
      </c>
      <c r="D27" s="4">
        <f>res_share_state_target*'LEAP Statewide'!D27*1000</f>
        <v>0.33048192886496219</v>
      </c>
      <c r="E27" s="5">
        <f>res_share_state_target*'LEAP Statewide'!E27*1000</f>
        <v>0.33048192886496219</v>
      </c>
      <c r="G27" s="1" t="s">
        <v>20</v>
      </c>
      <c r="H27" s="4">
        <f>res_share_state_target*'LEAP Statewide'!H27*1000</f>
        <v>0.33048192886496219</v>
      </c>
      <c r="I27" s="4">
        <f>res_share_state_target*'LEAP Statewide'!I27*1000</f>
        <v>0.33048192886496219</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0.33048192886496219</v>
      </c>
      <c r="K28" s="5">
        <f>res_share_state_target*'LEAP Statewide'!K28*1000</f>
        <v>0.33048192886496219</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10.905903652543753</v>
      </c>
      <c r="C30" s="8">
        <f>SUM(C24:C29)</f>
        <v>8.9230120793539793</v>
      </c>
      <c r="D30" s="8">
        <f>SUM(D24:D29)</f>
        <v>7.9315662927590935</v>
      </c>
      <c r="E30" s="9">
        <f>SUM(E24:E29)</f>
        <v>6.6096385772992443</v>
      </c>
      <c r="G30" s="7" t="s">
        <v>12</v>
      </c>
      <c r="H30" s="8">
        <f>SUM(H24:H29)</f>
        <v>10.905903652543753</v>
      </c>
      <c r="I30" s="8">
        <f>SUM(I24:I29)</f>
        <v>8.9230120793539793</v>
      </c>
      <c r="J30" s="8">
        <f>SUM(J24:J29)</f>
        <v>4.9572289329744335</v>
      </c>
      <c r="K30" s="9">
        <f>SUM(K24:K29)</f>
        <v>2.3133735020547355</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3.4039638673091108E-2</v>
      </c>
      <c r="C49" s="20">
        <f>res_share_state_target*'LEAP Statewide'!C49</f>
        <v>0.16292759093042636</v>
      </c>
      <c r="D49" s="20">
        <f>res_share_state_target*'LEAP Statewide'!D49</f>
        <v>0.2825620491795427</v>
      </c>
      <c r="E49" s="20">
        <f>res_share_state_target*'LEAP Statewide'!E49</f>
        <v>0.46597951969959672</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4.4930232558139535E-2</v>
      </c>
      <c r="I4" s="4">
        <f>res_share_region_target*'LEAP Scenario'!I4</f>
        <v>0.16046511627906976</v>
      </c>
      <c r="J4" s="4">
        <f>res_share_region_target*'LEAP Scenario'!J4</f>
        <v>0.2631627906976744</v>
      </c>
      <c r="K4" s="5">
        <f>res_share_region_target*'LEAP Scenario'!K4</f>
        <v>0.40758139534883719</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1.0966415352981493E-2</v>
      </c>
      <c r="U4" s="4">
        <f>com_share_region_target*'LEAP Scenario'!U4</f>
        <v>6.7169294037011648E-2</v>
      </c>
      <c r="V4" s="4">
        <f>com_share_region_target*'LEAP Scenario'!V4</f>
        <v>0.12611377655928718</v>
      </c>
      <c r="W4" s="5">
        <f>com_share_region_target*'LEAP Scenario'!W4</f>
        <v>0.2248115147361206</v>
      </c>
      <c r="Y4" s="23"/>
    </row>
    <row r="5" spans="1:25" x14ac:dyDescent="0.25">
      <c r="A5" s="1" t="s">
        <v>3</v>
      </c>
      <c r="B5" s="4">
        <f>res_share_region_target*'LEAP Scenario'!B5</f>
        <v>6.0655813953488371</v>
      </c>
      <c r="C5" s="4">
        <f>res_share_region_target*'LEAP Scenario'!C5</f>
        <v>5.0321860465116277</v>
      </c>
      <c r="D5" s="4">
        <f>res_share_region_target*'LEAP Scenario'!D5</f>
        <v>4.175302325581395</v>
      </c>
      <c r="E5" s="5">
        <f>res_share_region_target*'LEAP Scenario'!E5</f>
        <v>3.1804186046511629</v>
      </c>
      <c r="G5" s="1" t="s">
        <v>3</v>
      </c>
      <c r="H5" s="4">
        <f>res_share_region_target*'LEAP Scenario'!H5</f>
        <v>5.966093023255814</v>
      </c>
      <c r="I5" s="4">
        <f>res_share_region_target*'LEAP Scenario'!I5</f>
        <v>4.7176744186046511</v>
      </c>
      <c r="J5" s="4">
        <f>res_share_region_target*'LEAP Scenario'!J5</f>
        <v>3.6200930232558139</v>
      </c>
      <c r="K5" s="5">
        <f>res_share_region_target*'LEAP Scenario'!K5</f>
        <v>2.4069767441860468</v>
      </c>
      <c r="L5" s="21"/>
      <c r="M5" s="1" t="s">
        <v>14</v>
      </c>
      <c r="N5" s="4">
        <f>com_share_region_target*'LEAP Scenario'!N5</f>
        <v>0.5661411925976696</v>
      </c>
      <c r="O5" s="4">
        <f>com_share_region_target*'LEAP Scenario'!O5</f>
        <v>0.46470185058259078</v>
      </c>
      <c r="P5" s="4">
        <f>com_share_region_target*'LEAP Scenario'!P5</f>
        <v>0.34681288553803974</v>
      </c>
      <c r="Q5" s="5">
        <f>com_share_region_target*'LEAP Scenario'!Q5</f>
        <v>0.16175462645647704</v>
      </c>
      <c r="R5" s="2"/>
      <c r="S5" s="1" t="s">
        <v>14</v>
      </c>
      <c r="T5" s="4">
        <f>com_share_region_target*'LEAP Scenario'!T5</f>
        <v>0.55928718300205615</v>
      </c>
      <c r="U5" s="4">
        <f>com_share_region_target*'LEAP Scenario'!U5</f>
        <v>0.41672378341329674</v>
      </c>
      <c r="V5" s="4">
        <f>com_share_region_target*'LEAP Scenario'!V5</f>
        <v>0.25633995887594241</v>
      </c>
      <c r="W5" s="5">
        <f>com_share_region_target*'LEAP Scenario'!W5</f>
        <v>1.3708019191226866E-3</v>
      </c>
      <c r="Y5" s="92"/>
    </row>
    <row r="6" spans="1:25" x14ac:dyDescent="0.25">
      <c r="A6" s="1" t="s">
        <v>4</v>
      </c>
      <c r="B6" s="4">
        <f>res_share_region_target*'LEAP Scenario'!B6</f>
        <v>0.61297674418604653</v>
      </c>
      <c r="C6" s="4">
        <f>res_share_region_target*'LEAP Scenario'!C6</f>
        <v>0.45572093023255816</v>
      </c>
      <c r="D6" s="4">
        <f>res_share_region_target*'LEAP Scenario'!D6</f>
        <v>0.2631627906976744</v>
      </c>
      <c r="E6" s="5">
        <f>res_share_region_target*'LEAP Scenario'!E6</f>
        <v>7.7023255813953487E-2</v>
      </c>
      <c r="G6" s="1" t="s">
        <v>4</v>
      </c>
      <c r="H6" s="4">
        <f>res_share_region_target*'LEAP Scenario'!H6</f>
        <v>0.66432558139534881</v>
      </c>
      <c r="I6" s="4">
        <f>res_share_region_target*'LEAP Scenario'!I6</f>
        <v>0.60013953488372096</v>
      </c>
      <c r="J6" s="4">
        <f>res_share_region_target*'LEAP Scenario'!J6</f>
        <v>0.32734883720930236</v>
      </c>
      <c r="K6" s="5">
        <f>res_share_region_target*'LEAP Scenario'!K6</f>
        <v>9.9488372093023261E-2</v>
      </c>
      <c r="L6" s="21"/>
      <c r="M6" s="1" t="s">
        <v>15</v>
      </c>
      <c r="N6" s="89">
        <f>com_share_region_target*'LEAP Scenario'!N6</f>
        <v>1.0335846470185057</v>
      </c>
      <c r="O6" s="89">
        <f>com_share_region_target*'LEAP Scenario'!O6</f>
        <v>1.0993831391363946</v>
      </c>
      <c r="P6" s="89">
        <f>com_share_region_target*'LEAP Scenario'!P6</f>
        <v>1.1473612063056888</v>
      </c>
      <c r="Q6" s="90">
        <f>com_share_region_target*'LEAP Scenario'!Q6</f>
        <v>1.2488005483207676</v>
      </c>
      <c r="R6" s="4"/>
      <c r="S6" s="1" t="s">
        <v>15</v>
      </c>
      <c r="T6" s="89">
        <f>com_share_region_target*'LEAP Scenario'!T6</f>
        <v>1.0198766278272788</v>
      </c>
      <c r="U6" s="89">
        <f>com_share_region_target*'LEAP Scenario'!U6</f>
        <v>1.01028101439342</v>
      </c>
      <c r="V6" s="89">
        <f>com_share_region_target*'LEAP Scenario'!V6</f>
        <v>0.9787525702535983</v>
      </c>
      <c r="W6" s="90">
        <f>com_share_region_target*'LEAP Scenario'!W6</f>
        <v>0.94859492803289913</v>
      </c>
      <c r="Y6" s="92"/>
    </row>
    <row r="7" spans="1:25" x14ac:dyDescent="0.25">
      <c r="A7" s="1" t="s">
        <v>5</v>
      </c>
      <c r="B7" s="4">
        <f>res_share_region_target*'LEAP Scenario'!B7</f>
        <v>8.3441860465116285E-2</v>
      </c>
      <c r="C7" s="4">
        <f>res_share_region_target*'LEAP Scenario'!C7</f>
        <v>0.39474418604651162</v>
      </c>
      <c r="D7" s="4">
        <f>res_share_region_target*'LEAP Scenario'!D7</f>
        <v>0.61297674418604653</v>
      </c>
      <c r="E7" s="5">
        <f>res_share_region_target*'LEAP Scenario'!E7</f>
        <v>0.77023255813953495</v>
      </c>
      <c r="G7" s="1" t="s">
        <v>5</v>
      </c>
      <c r="H7" s="4">
        <f>res_share_region_target*'LEAP Scenario'!H7</f>
        <v>7.3813953488372094E-2</v>
      </c>
      <c r="I7" s="4">
        <f>res_share_region_target*'LEAP Scenario'!I7</f>
        <v>0.3530232558139535</v>
      </c>
      <c r="J7" s="4">
        <f>res_share_region_target*'LEAP Scenario'!J7</f>
        <v>0.72209302325581393</v>
      </c>
      <c r="K7" s="5">
        <f>res_share_region_target*'LEAP Scenario'!K7</f>
        <v>0.86651162790697678</v>
      </c>
      <c r="M7" s="1" t="s">
        <v>8</v>
      </c>
      <c r="N7" s="4">
        <f>com_share_region_target*'LEAP Scenario'!N7</f>
        <v>0.42631939684715553</v>
      </c>
      <c r="O7" s="4">
        <f>com_share_region_target*'LEAP Scenario'!O7</f>
        <v>0.46058944482522274</v>
      </c>
      <c r="P7" s="4">
        <f>com_share_region_target*'LEAP Scenario'!P7</f>
        <v>0.48663468128855375</v>
      </c>
      <c r="Q7" s="5">
        <f>com_share_region_target*'LEAP Scenario'!Q7</f>
        <v>0.54009595613433858</v>
      </c>
      <c r="R7" s="4"/>
      <c r="S7" s="1" t="s">
        <v>8</v>
      </c>
      <c r="T7" s="4">
        <f>com_share_region_target*'LEAP Scenario'!T7</f>
        <v>0.4098697738176833</v>
      </c>
      <c r="U7" s="4">
        <f>com_share_region_target*'LEAP Scenario'!U7</f>
        <v>0.35366689513365318</v>
      </c>
      <c r="V7" s="4">
        <f>com_share_region_target*'LEAP Scenario'!V7</f>
        <v>0.28649760109664152</v>
      </c>
      <c r="W7" s="5">
        <f>com_share_region_target*'LEAP Scenario'!W7</f>
        <v>0.18231665524331733</v>
      </c>
      <c r="Y7" s="92"/>
    </row>
    <row r="8" spans="1:25" x14ac:dyDescent="0.25">
      <c r="A8" s="1" t="s">
        <v>6</v>
      </c>
      <c r="B8" s="4">
        <f>res_share_region_target*'LEAP Scenario'!B8</f>
        <v>9.6279069767441858E-3</v>
      </c>
      <c r="C8" s="4">
        <f>res_share_region_target*'LEAP Scenario'!C8</f>
        <v>4.1720930232558143E-2</v>
      </c>
      <c r="D8" s="4">
        <f>res_share_region_target*'LEAP Scenario'!D8</f>
        <v>0.15083720930232558</v>
      </c>
      <c r="E8" s="5">
        <f>res_share_region_target*'LEAP Scenario'!E8</f>
        <v>0.3626511627906977</v>
      </c>
      <c r="G8" s="1" t="s">
        <v>6</v>
      </c>
      <c r="H8" s="4">
        <f>res_share_region_target*'LEAP Scenario'!H8</f>
        <v>5.1348837209302327E-2</v>
      </c>
      <c r="I8" s="4">
        <f>res_share_region_target*'LEAP Scenario'!I8</f>
        <v>0.14762790697674419</v>
      </c>
      <c r="J8" s="4">
        <f>res_share_region_target*'LEAP Scenario'!J8</f>
        <v>0.28883720930232559</v>
      </c>
      <c r="K8" s="5">
        <f>res_share_region_target*'LEAP Scenario'!K8</f>
        <v>0.40437209302325583</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0.41400000000000003</v>
      </c>
      <c r="C9" s="4">
        <f>res_share_region_target*'LEAP Scenario'!C9</f>
        <v>0.5263255813953488</v>
      </c>
      <c r="D9" s="4">
        <f>res_share_region_target*'LEAP Scenario'!D9</f>
        <v>0.64506976744186051</v>
      </c>
      <c r="E9" s="5">
        <f>res_share_region_target*'LEAP Scenario'!E9</f>
        <v>0.16367441860465118</v>
      </c>
      <c r="G9" s="1" t="s">
        <v>7</v>
      </c>
      <c r="H9" s="4">
        <f>res_share_region_target*'LEAP Scenario'!H9</f>
        <v>0.38511627906976748</v>
      </c>
      <c r="I9" s="4">
        <f>res_share_region_target*'LEAP Scenario'!I9</f>
        <v>0.44609302325581396</v>
      </c>
      <c r="J9" s="4">
        <f>res_share_region_target*'LEAP Scenario'!J9</f>
        <v>0.5166976744186047</v>
      </c>
      <c r="K9" s="5">
        <f>res_share_region_target*'LEAP Scenario'!K9</f>
        <v>0</v>
      </c>
      <c r="L9" s="21"/>
      <c r="M9" s="1" t="s">
        <v>16</v>
      </c>
      <c r="N9" s="4">
        <f>com_share_region_target*'LEAP Scenario'!N9</f>
        <v>5.7573680603152842E-2</v>
      </c>
      <c r="O9" s="4">
        <f>com_share_region_target*'LEAP Scenario'!O9</f>
        <v>4.2494859492803287E-2</v>
      </c>
      <c r="P9" s="4">
        <f>com_share_region_target*'LEAP Scenario'!P9</f>
        <v>2.6045236463331047E-2</v>
      </c>
      <c r="Q9" s="5">
        <f>com_share_region_target*'LEAP Scenario'!Q9</f>
        <v>0</v>
      </c>
      <c r="R9" s="2"/>
      <c r="S9" s="1" t="s">
        <v>16</v>
      </c>
      <c r="T9" s="4">
        <f>com_share_region_target*'LEAP Scenario'!T9</f>
        <v>5.7573680603152842E-2</v>
      </c>
      <c r="U9" s="4">
        <f>com_share_region_target*'LEAP Scenario'!U9</f>
        <v>4.2494859492803287E-2</v>
      </c>
      <c r="V9" s="4">
        <f>com_share_region_target*'LEAP Scenario'!V9</f>
        <v>2.6045236463331047E-2</v>
      </c>
      <c r="W9" s="5">
        <f>com_share_region_target*'LEAP Scenario'!W9</f>
        <v>0</v>
      </c>
      <c r="Y9" s="23"/>
    </row>
    <row r="10" spans="1:25" x14ac:dyDescent="0.25">
      <c r="A10" s="1" t="s">
        <v>8</v>
      </c>
      <c r="B10" s="4">
        <f>res_share_region_target*'LEAP Scenario'!B10</f>
        <v>2.3203255813953487</v>
      </c>
      <c r="C10" s="4">
        <f>res_share_region_target*'LEAP Scenario'!C10</f>
        <v>1.8934883720930233</v>
      </c>
      <c r="D10" s="4">
        <f>res_share_region_target*'LEAP Scenario'!D10</f>
        <v>1.5147906976744185</v>
      </c>
      <c r="E10" s="5">
        <f>res_share_region_target*'LEAP Scenario'!E10</f>
        <v>1.014139534883721</v>
      </c>
      <c r="G10" s="1" t="s">
        <v>8</v>
      </c>
      <c r="H10" s="4">
        <f>res_share_region_target*'LEAP Scenario'!H10</f>
        <v>2.2689767441860464</v>
      </c>
      <c r="I10" s="4">
        <f>res_share_region_target*'LEAP Scenario'!I10</f>
        <v>1.7747441860465116</v>
      </c>
      <c r="J10" s="4">
        <f>res_share_region_target*'LEAP Scenario'!J10</f>
        <v>1.136093023255814</v>
      </c>
      <c r="K10" s="5">
        <f>res_share_region_target*'LEAP Scenario'!K10</f>
        <v>0.39795348837209304</v>
      </c>
      <c r="L10" s="21"/>
      <c r="M10" s="1" t="s">
        <v>17</v>
      </c>
      <c r="N10" s="4">
        <f>com_share_region_target*'LEAP Scenario'!N10</f>
        <v>0.1850582590815627</v>
      </c>
      <c r="O10" s="4">
        <f>com_share_region_target*'LEAP Scenario'!O10</f>
        <v>0.20699108978752567</v>
      </c>
      <c r="P10" s="4">
        <f>com_share_region_target*'LEAP Scenario'!P10</f>
        <v>0.22755311857436597</v>
      </c>
      <c r="Q10" s="5">
        <f>com_share_region_target*'LEAP Scenario'!Q10</f>
        <v>0.26319396847155585</v>
      </c>
      <c r="R10" s="4"/>
      <c r="S10" s="1" t="s">
        <v>17</v>
      </c>
      <c r="T10" s="4">
        <f>com_share_region_target*'LEAP Scenario'!T10</f>
        <v>0.19328307059629882</v>
      </c>
      <c r="U10" s="4">
        <f>com_share_region_target*'LEAP Scenario'!U10</f>
        <v>0.26456477039067855</v>
      </c>
      <c r="V10" s="4">
        <f>com_share_region_target*'LEAP Scenario'!V10</f>
        <v>0.33447566826593556</v>
      </c>
      <c r="W10" s="5">
        <f>com_share_region_target*'LEAP Scenario'!W10</f>
        <v>0.45510623714873194</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2.2686771761480466</v>
      </c>
      <c r="O11" s="8">
        <f>SUM(O4:O10)</f>
        <v>2.2741603838245372</v>
      </c>
      <c r="P11" s="8">
        <f>SUM(P4:P10)</f>
        <v>2.2344071281699791</v>
      </c>
      <c r="Q11" s="9">
        <f>SUM(Q4:Q10)</f>
        <v>2.2138450993831391</v>
      </c>
      <c r="R11" s="4"/>
      <c r="S11" s="7" t="s">
        <v>12</v>
      </c>
      <c r="T11" s="8">
        <f>SUM(T4:T10)</f>
        <v>2.2508567511994513</v>
      </c>
      <c r="U11" s="8">
        <f>SUM(U4:U10)</f>
        <v>2.1549006168608633</v>
      </c>
      <c r="V11" s="8">
        <f>SUM(V4:V10)</f>
        <v>2.0082248115147361</v>
      </c>
      <c r="W11" s="9">
        <f>SUM(W4:W10)</f>
        <v>1.8122001370801917</v>
      </c>
    </row>
    <row r="12" spans="1:25" x14ac:dyDescent="0.25">
      <c r="A12" s="1" t="s">
        <v>10</v>
      </c>
      <c r="B12" s="4">
        <f>res_share_region_target*'LEAP Scenario'!B12</f>
        <v>5.6515813953488374</v>
      </c>
      <c r="C12" s="4">
        <f>res_share_region_target*'LEAP Scenario'!C12</f>
        <v>4.3068837209302329</v>
      </c>
      <c r="D12" s="4">
        <f>res_share_region_target*'LEAP Scenario'!D12</f>
        <v>3.0167441860465116</v>
      </c>
      <c r="E12" s="5">
        <f>res_share_region_target*'LEAP Scenario'!E12</f>
        <v>1.3190232558139534</v>
      </c>
      <c r="G12" s="1" t="s">
        <v>10</v>
      </c>
      <c r="H12" s="4">
        <f>res_share_region_target*'LEAP Scenario'!H12</f>
        <v>5.4365581395348839</v>
      </c>
      <c r="I12" s="4">
        <f>res_share_region_target*'LEAP Scenario'!I12</f>
        <v>3.6521860465116278</v>
      </c>
      <c r="J12" s="4">
        <f>res_share_region_target*'LEAP Scenario'!J12</f>
        <v>1.9287906976744187</v>
      </c>
      <c r="K12" s="5">
        <f>res_share_region_target*'LEAP Scenario'!K12</f>
        <v>0</v>
      </c>
      <c r="L12" s="21"/>
    </row>
    <row r="13" spans="1:25" x14ac:dyDescent="0.25">
      <c r="A13" s="1" t="s">
        <v>11</v>
      </c>
      <c r="B13" s="4">
        <f>res_share_region_target*'LEAP Scenario'!B13</f>
        <v>1.1681860465116278</v>
      </c>
      <c r="C13" s="4">
        <f>res_share_region_target*'LEAP Scenario'!C13</f>
        <v>1.0366046511627907</v>
      </c>
      <c r="D13" s="4">
        <f>res_share_region_target*'LEAP Scenario'!D13</f>
        <v>0.93069767441860463</v>
      </c>
      <c r="E13" s="5">
        <f>res_share_region_target*'LEAP Scenario'!E13</f>
        <v>0.83120930232558143</v>
      </c>
      <c r="G13" s="1" t="s">
        <v>11</v>
      </c>
      <c r="H13" s="4">
        <f>res_share_region_target*'LEAP Scenario'!H13</f>
        <v>1.014139534883721</v>
      </c>
      <c r="I13" s="4">
        <f>res_share_region_target*'LEAP Scenario'!I13</f>
        <v>1.1328837209302325</v>
      </c>
      <c r="J13" s="4">
        <f>res_share_region_target*'LEAP Scenario'!J13</f>
        <v>1.0173488372093022</v>
      </c>
      <c r="K13" s="5">
        <f>res_share_region_target*'LEAP Scenario'!K13</f>
        <v>0.94995348837209304</v>
      </c>
      <c r="L13" s="21"/>
      <c r="N13" s="21"/>
      <c r="O13" s="21"/>
      <c r="P13" s="21"/>
      <c r="Q13" s="21"/>
      <c r="T13" s="21"/>
      <c r="U13" s="21"/>
      <c r="V13" s="21"/>
      <c r="W13" s="21"/>
    </row>
    <row r="14" spans="1:25" x14ac:dyDescent="0.25">
      <c r="A14" s="7" t="s">
        <v>12</v>
      </c>
      <c r="B14" s="8">
        <f>SUM(B4:B13)</f>
        <v>16.32572093023256</v>
      </c>
      <c r="C14" s="8">
        <f>SUM(C4:C13)</f>
        <v>13.687674418604651</v>
      </c>
      <c r="D14" s="8">
        <f>SUM(D4:D13)</f>
        <v>11.309581395348838</v>
      </c>
      <c r="E14" s="9">
        <f>SUM(E4:E13)</f>
        <v>7.7183720930232571</v>
      </c>
      <c r="G14" s="7" t="s">
        <v>12</v>
      </c>
      <c r="H14" s="8">
        <f>SUM(H4:H13)</f>
        <v>15.905302325581395</v>
      </c>
      <c r="I14" s="8">
        <f>SUM(I4:I13)</f>
        <v>12.984837209302325</v>
      </c>
      <c r="J14" s="8">
        <f>SUM(J4:J13)</f>
        <v>9.8204651162790704</v>
      </c>
      <c r="K14" s="9">
        <f>SUM(K4:K13)</f>
        <v>5.5328372093023255</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9.3454883720930226</v>
      </c>
      <c r="C24" s="4">
        <f>res_share_region_target*'LEAP Scenario'!C24</f>
        <v>7.6060465116279072</v>
      </c>
      <c r="D24" s="4">
        <f>res_share_region_target*'LEAP Scenario'!D24</f>
        <v>6.4827906976744192</v>
      </c>
      <c r="E24" s="5">
        <f>res_share_region_target*'LEAP Scenario'!E24</f>
        <v>5.4429767441860468</v>
      </c>
      <c r="G24" s="1" t="s">
        <v>21</v>
      </c>
      <c r="H24" s="4">
        <f>res_share_region_target*'LEAP Scenario'!H24</f>
        <v>9.3807906976744189</v>
      </c>
      <c r="I24" s="4">
        <f>res_share_region_target*'LEAP Scenario'!I24</f>
        <v>6.7202790697674422</v>
      </c>
      <c r="J24" s="4">
        <f>res_share_region_target*'LEAP Scenario'!J24</f>
        <v>3.7420465116279069</v>
      </c>
      <c r="K24" s="5">
        <f>res_share_region_target*'LEAP Scenario'!K24</f>
        <v>0.29204651162790696</v>
      </c>
    </row>
    <row r="25" spans="1:16" x14ac:dyDescent="0.25">
      <c r="A25" s="1" t="s">
        <v>22</v>
      </c>
      <c r="B25" s="4">
        <f>res_share_region_target*'LEAP Scenario'!B25</f>
        <v>1.2676744186046511</v>
      </c>
      <c r="C25" s="4">
        <f>res_share_region_target*'LEAP Scenario'!C25</f>
        <v>1.0237674418604652</v>
      </c>
      <c r="D25" s="4">
        <f>res_share_region_target*'LEAP Scenario'!D25</f>
        <v>0.86651162790697678</v>
      </c>
      <c r="E25" s="5">
        <f>res_share_region_target*'LEAP Scenario'!E25</f>
        <v>0.71888372093023256</v>
      </c>
      <c r="G25" s="1" t="s">
        <v>22</v>
      </c>
      <c r="H25" s="4">
        <f>res_share_region_target*'LEAP Scenario'!H25</f>
        <v>1.2516279069767442</v>
      </c>
      <c r="I25" s="4">
        <f>res_share_region_target*'LEAP Scenario'!I25</f>
        <v>0.8344186046511628</v>
      </c>
      <c r="J25" s="4">
        <f>res_share_region_target*'LEAP Scenario'!J25</f>
        <v>0.45251162790697674</v>
      </c>
      <c r="K25" s="5">
        <f>res_share_region_target*'LEAP Scenario'!K25</f>
        <v>5.1348837209302327E-2</v>
      </c>
    </row>
    <row r="26" spans="1:16" x14ac:dyDescent="0.25">
      <c r="A26" s="1" t="s">
        <v>23</v>
      </c>
      <c r="B26" s="4">
        <f>res_share_region_target*'LEAP Scenario'!B26</f>
        <v>9.6279069767441858E-3</v>
      </c>
      <c r="C26" s="4">
        <f>res_share_region_target*'LEAP Scenario'!C26</f>
        <v>2.8883720930232559E-2</v>
      </c>
      <c r="D26" s="4">
        <f>res_share_region_target*'LEAP Scenario'!D26</f>
        <v>4.4930232558139535E-2</v>
      </c>
      <c r="E26" s="5">
        <f>res_share_region_target*'LEAP Scenario'!E26</f>
        <v>6.739534883720931E-2</v>
      </c>
      <c r="G26" s="1" t="s">
        <v>23</v>
      </c>
      <c r="H26" s="4">
        <f>res_share_region_target*'LEAP Scenario'!H26</f>
        <v>9.6279069767441858E-3</v>
      </c>
      <c r="I26" s="4">
        <f>res_share_region_target*'LEAP Scenario'!I26</f>
        <v>0.2631627906976744</v>
      </c>
      <c r="J26" s="4">
        <f>res_share_region_target*'LEAP Scenario'!J26</f>
        <v>0.76381395348837211</v>
      </c>
      <c r="K26" s="5">
        <f>res_share_region_target*'LEAP Scenario'!K26</f>
        <v>1.4794883720930232</v>
      </c>
    </row>
    <row r="27" spans="1:16" x14ac:dyDescent="0.25">
      <c r="A27" s="1" t="s">
        <v>20</v>
      </c>
      <c r="B27" s="4">
        <f>res_share_region_target*'LEAP Scenario'!B27</f>
        <v>0.34018604651162793</v>
      </c>
      <c r="C27" s="4">
        <f>res_share_region_target*'LEAP Scenario'!C27</f>
        <v>0.32093023255813952</v>
      </c>
      <c r="D27" s="4">
        <f>res_share_region_target*'LEAP Scenario'!D27</f>
        <v>0.31451162790697673</v>
      </c>
      <c r="E27" s="5">
        <f>res_share_region_target*'LEAP Scenario'!E27</f>
        <v>0.31130232558139537</v>
      </c>
      <c r="G27" s="1" t="s">
        <v>20</v>
      </c>
      <c r="H27" s="4">
        <f>res_share_region_target*'LEAP Scenario'!H27</f>
        <v>0.31451162790697673</v>
      </c>
      <c r="I27" s="4">
        <f>res_share_region_target*'LEAP Scenario'!I27</f>
        <v>0.19576744186046513</v>
      </c>
      <c r="J27" s="4">
        <f>res_share_region_target*'LEAP Scenario'!J27</f>
        <v>0.10590697674418605</v>
      </c>
      <c r="K27" s="5">
        <f>res_share_region_target*'LEAP Scenario'!K27</f>
        <v>3.2093023255813954E-3</v>
      </c>
    </row>
    <row r="28" spans="1:16" x14ac:dyDescent="0.25">
      <c r="A28" s="1" t="s">
        <v>18</v>
      </c>
      <c r="B28" s="4">
        <f>res_share_region_target*'LEAP Scenario'!B28</f>
        <v>3.2093023255813954E-3</v>
      </c>
      <c r="C28" s="4">
        <f>res_share_region_target*'LEAP Scenario'!C28</f>
        <v>3.2093023255813954E-3</v>
      </c>
      <c r="D28" s="4">
        <f>res_share_region_target*'LEAP Scenario'!D28</f>
        <v>3.2093023255813954E-3</v>
      </c>
      <c r="E28" s="5">
        <f>res_share_region_target*'LEAP Scenario'!E28</f>
        <v>0</v>
      </c>
      <c r="G28" s="1" t="s">
        <v>18</v>
      </c>
      <c r="H28" s="4">
        <f>res_share_region_target*'LEAP Scenario'!H28</f>
        <v>2.5674418604651163E-2</v>
      </c>
      <c r="I28" s="4">
        <f>res_share_region_target*'LEAP Scenario'!I28</f>
        <v>0.12195348837209302</v>
      </c>
      <c r="J28" s="4">
        <f>res_share_region_target*'LEAP Scenario'!J28</f>
        <v>0.19576744186046513</v>
      </c>
      <c r="K28" s="5">
        <f>res_share_region_target*'LEAP Scenario'!K28</f>
        <v>0.27920930232558139</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10.966186046511627</v>
      </c>
      <c r="C30" s="8">
        <f>SUM(C24:C29)</f>
        <v>8.9828372093023265</v>
      </c>
      <c r="D30" s="8">
        <f>SUM(D24:D29)</f>
        <v>7.7119534883720942</v>
      </c>
      <c r="E30" s="9">
        <f>SUM(E24:E29)</f>
        <v>6.540558139534884</v>
      </c>
      <c r="G30" s="7" t="s">
        <v>12</v>
      </c>
      <c r="H30" s="8">
        <f>SUM(H24:H29)</f>
        <v>10.982232558139536</v>
      </c>
      <c r="I30" s="8">
        <f>SUM(I24:I29)</f>
        <v>8.1355813953488383</v>
      </c>
      <c r="J30" s="8">
        <f>SUM(J24:J29)</f>
        <v>5.2600465116279072</v>
      </c>
      <c r="K30" s="9">
        <f>SUM(K24:K29)</f>
        <v>2.1053023255813952</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3.8511627906976743E-2</v>
      </c>
      <c r="C49" s="20">
        <f>res_share_region_target*'LEAP Scenario'!C49</f>
        <v>0.17972093023255814</v>
      </c>
      <c r="D49" s="20">
        <f>res_share_region_target*'LEAP Scenario'!D49</f>
        <v>0.28241860465116281</v>
      </c>
      <c r="E49" s="20">
        <f>res_share_region_target*'LEAP Scenario'!E49</f>
        <v>0.41400000000000003</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16325.720930232559</v>
      </c>
      <c r="J21" s="63">
        <f>'2.Heat Targets'!C24</f>
        <v>13687.674418604651</v>
      </c>
      <c r="K21" s="63">
        <f>'2.Heat Targets'!D24</f>
        <v>11309.581395348838</v>
      </c>
      <c r="L21" s="64">
        <f>'2.Heat Targets'!E24</f>
        <v>7718.3720930232575</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130.29767441860466</v>
      </c>
      <c r="J22" s="63">
        <f>'2.Heat Targets'!C25</f>
        <v>698.3441860465116</v>
      </c>
      <c r="K22" s="63">
        <f>'2.Heat Targets'!D25</f>
        <v>1374.8651162790698</v>
      </c>
      <c r="L22" s="64">
        <f>'2.Heat Targets'!E25</f>
        <v>1472.7488372093023</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15905.302325581395</v>
      </c>
      <c r="J23" s="63">
        <f>'2.Heat Targets'!C26</f>
        <v>12984.837209302326</v>
      </c>
      <c r="K23" s="63">
        <f>'2.Heat Targets'!D26</f>
        <v>9820.4651162790706</v>
      </c>
      <c r="L23" s="64">
        <f>'2.Heat Targets'!E26</f>
        <v>5532.8372093023254</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175.22790697674418</v>
      </c>
      <c r="J24" s="63">
        <f>'2.Heat Targets'!C27</f>
        <v>801.04186046511632</v>
      </c>
      <c r="K24" s="63">
        <f>'2.Heat Targets'!D27</f>
        <v>1819.674418604651</v>
      </c>
      <c r="L24" s="64">
        <f>'2.Heat Targets'!E27</f>
        <v>2541.7674418604652</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375.48837209302337</v>
      </c>
      <c r="J25" s="63">
        <f>'2.Heat Targets'!C28</f>
        <v>600.13953488371999</v>
      </c>
      <c r="K25" s="63">
        <f>'2.Heat Targets'!D28</f>
        <v>1044.3069767441864</v>
      </c>
      <c r="L25" s="64">
        <f>'2.Heat Targets'!E28</f>
        <v>1116.51627906977</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30.272500000000001</v>
      </c>
      <c r="J26" s="308">
        <f>'2.Heat Targets'!C29</f>
        <v>0</v>
      </c>
      <c r="K26" s="308">
        <f>'2.Heat Targets'!D29</f>
        <v>0</v>
      </c>
      <c r="L26" s="308">
        <f>'2.Heat Targets'!E29</f>
        <v>0</v>
      </c>
      <c r="O26" s="308">
        <f>'2.Heat Targets'!B29</f>
        <v>30.272500000000001</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12.40361291908575</v>
      </c>
      <c r="J27" s="63">
        <f>'2.Heat Targets'!C30</f>
        <v>19.824577913410518</v>
      </c>
      <c r="K27" s="63">
        <f>'2.Heat Targets'!D30</f>
        <v>34.496885845047032</v>
      </c>
      <c r="L27" s="64">
        <f>'2.Heat Targets'!E30</f>
        <v>36.882196021794364</v>
      </c>
      <c r="O27" s="62">
        <f>O25/$O$26</f>
        <v>336.14253263498637</v>
      </c>
      <c r="P27" s="63">
        <f>P25/$O$26</f>
        <v>1455.8188405922551</v>
      </c>
      <c r="Q27" s="63">
        <f>Q25/$O$26</f>
        <v>2195.0023675320176</v>
      </c>
      <c r="R27" s="64">
        <f>R25/$O$26</f>
        <v>4675.2351171365008</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105</v>
      </c>
      <c r="J28" s="203">
        <f>'2.Heat Targets'!C31</f>
        <v>111.30000000000001</v>
      </c>
      <c r="K28" s="203">
        <f>'2.Heat Targets'!D31</f>
        <v>117.97800000000002</v>
      </c>
      <c r="L28" s="203">
        <f>'2.Heat Targets'!E31</f>
        <v>125.05668000000003</v>
      </c>
      <c r="O28" s="203">
        <f>'2.Heat Targets'!B31</f>
        <v>105</v>
      </c>
      <c r="P28" s="203">
        <f>'2.Heat Targets'!C31</f>
        <v>111.30000000000001</v>
      </c>
      <c r="Q28" s="203">
        <f>'2.Heat Targets'!D31</f>
        <v>117.97800000000002</v>
      </c>
      <c r="R28" s="203">
        <f>'2.Heat Targets'!E31</f>
        <v>125.05668000000003</v>
      </c>
      <c r="T28" t="str">
        <f>'2.Heat Targets'!G31</f>
        <v>Enter a projection of the number of future residences in the area by each year.</v>
      </c>
    </row>
    <row r="29" spans="8:20" x14ac:dyDescent="0.25">
      <c r="I29" s="86">
        <f>'2.Heat Targets'!B32</f>
        <v>0.11812964684843572</v>
      </c>
      <c r="J29" s="87">
        <f>'2.Heat Targets'!C32</f>
        <v>0.17811839994079529</v>
      </c>
      <c r="K29" s="87">
        <f>'2.Heat Targets'!D32</f>
        <v>0.29240100565399502</v>
      </c>
      <c r="L29" s="88">
        <f>'2.Heat Targets'!E32</f>
        <v>0.29492383790929327</v>
      </c>
      <c r="O29" s="104">
        <f>O27/O28</f>
        <v>3.201357453666537</v>
      </c>
      <c r="P29" s="105">
        <f>P27/P28</f>
        <v>13.080133338654582</v>
      </c>
      <c r="Q29" s="105">
        <f>Q27/Q28</f>
        <v>18.605183742155464</v>
      </c>
      <c r="R29" s="106">
        <f>R27/R28</f>
        <v>37.384929114834165</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121.09</v>
      </c>
      <c r="J34" s="94">
        <f>'2.Heat Targets'!C54</f>
        <v>115.69791073779227</v>
      </c>
      <c r="K34" s="94">
        <f>'2.Heat Targets'!D54</f>
        <v>112.23829055633944</v>
      </c>
      <c r="L34" s="95">
        <f>'2.Heat Targets'!E54</f>
        <v>112.16191811689092</v>
      </c>
      <c r="O34" s="107">
        <f>'1.Current Heat'!B10</f>
        <v>121.09</v>
      </c>
      <c r="P34" s="108">
        <f>P29*($O$34-$O$26)+(1-P29)*$O$34</f>
        <v>-274.87833649442109</v>
      </c>
      <c r="Q34" s="108">
        <f>Q29*($O$34-$O$26)+(1-Q29)*$O$34</f>
        <v>-442.13542483440142</v>
      </c>
      <c r="R34" s="110">
        <f>R29*($O$34-$O$26)+(1-R29)*$O$34</f>
        <v>-1010.6452666288174</v>
      </c>
      <c r="T34" t="str">
        <f>'2.Heat Targets'!G54</f>
        <v>This is a projection of the average area residential heating load, in millions of Btu, computed based on values inputted above and in the "1.Current Heat" tab</v>
      </c>
    </row>
    <row r="35" spans="9:20" x14ac:dyDescent="0.25">
      <c r="I35" s="81">
        <f>'2.Heat Targets'!B55</f>
        <v>5866.604651162791</v>
      </c>
      <c r="J35" s="82">
        <f>'2.Heat Targets'!C55</f>
        <v>4258.7441860465115</v>
      </c>
      <c r="K35" s="82">
        <f>'2.Heat Targets'!D55</f>
        <v>2708.651162790698</v>
      </c>
      <c r="L35" s="83">
        <f>'2.Heat Targets'!E55</f>
        <v>407.58139534883719</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7.658643326039387E-3</v>
      </c>
      <c r="J36" s="97">
        <f>'2.Heat Targets'!C56</f>
        <v>3.7678975131876409E-2</v>
      </c>
      <c r="K36" s="97">
        <f>'2.Heat Targets'!D56</f>
        <v>9.7156398104265379E-2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48.44830003437766</v>
      </c>
      <c r="J37" s="63">
        <f>'2.Heat Targets'!C57</f>
        <v>36.80917104629625</v>
      </c>
      <c r="K37" s="63">
        <f>'2.Heat Targets'!D57</f>
        <v>24.133040064709967</v>
      </c>
      <c r="L37" s="64">
        <f>'2.Heat Targets'!E57</f>
        <v>3.6338661302499413</v>
      </c>
      <c r="O37" s="62">
        <f>O35/O34</f>
        <v>2303.6032026764778</v>
      </c>
      <c r="P37" s="62">
        <f>P35/P34</f>
        <v>-774.25051773204598</v>
      </c>
      <c r="Q37" s="62">
        <f>Q35/Q34</f>
        <v>-338.22396757960536</v>
      </c>
      <c r="R37" s="112">
        <f>R35/R34</f>
        <v>-48.737511865217471</v>
      </c>
      <c r="T37" t="str">
        <f>'2.Heat Targets'!G57</f>
        <v>This formula computes an estimate the number of residences using biofuel-blended heat energy in the 90x50 scenario based on values inputted in the "1.Current Heat" tab.</v>
      </c>
    </row>
    <row r="38" spans="9:20" x14ac:dyDescent="0.25">
      <c r="I38" s="65">
        <f>'2.Heat Targets'!B58</f>
        <v>0.46141238127978723</v>
      </c>
      <c r="J38" s="66">
        <f>'2.Heat Targets'!C58</f>
        <v>0.33072031488136788</v>
      </c>
      <c r="K38" s="66">
        <f>'2.Heat Targets'!D58</f>
        <v>0.20455542613631322</v>
      </c>
      <c r="L38" s="67">
        <f>'2.Heat Targets'!E58</f>
        <v>2.9057753094436381E-2</v>
      </c>
      <c r="O38" s="109">
        <f>O37/O28</f>
        <v>21.939078120728361</v>
      </c>
      <c r="P38" s="109">
        <f>P37/P28</f>
        <v>-6.9564287307461443</v>
      </c>
      <c r="Q38" s="109">
        <f>Q37/Q28</f>
        <v>-2.8668393054603851</v>
      </c>
      <c r="R38" s="113">
        <f>R37/R28</f>
        <v>-0.38972337875287799</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6980.2325581395353</v>
      </c>
      <c r="J39" s="82">
        <f>'2.Heat Targets'!C59</f>
        <v>5850.5581395348836</v>
      </c>
      <c r="K39" s="82">
        <f>'2.Heat Targets'!D59</f>
        <v>4637.4418604651164</v>
      </c>
      <c r="L39" s="83">
        <f>'2.Heat Targets'!E59</f>
        <v>3356.9302325581402</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57.644995938058756</v>
      </c>
      <c r="J40" s="63">
        <f>'2.Heat Targets'!C60</f>
        <v>50.567534903841803</v>
      </c>
      <c r="K40" s="63">
        <f>'2.Heat Targets'!D60</f>
        <v>41.317823333537795</v>
      </c>
      <c r="L40" s="64">
        <f>'2.Heat Targets'!E60</f>
        <v>29.929322616074327</v>
      </c>
      <c r="O40" s="62">
        <f>O39/O34</f>
        <v>1546.7946057278295</v>
      </c>
      <c r="P40" s="62">
        <f>P39/P34</f>
        <v>-703.74135759618252</v>
      </c>
      <c r="Q40" s="62">
        <f>Q39/Q34</f>
        <v>-441.40097072177258</v>
      </c>
      <c r="R40" s="112">
        <f>R39/R34</f>
        <v>-197.45828650995983</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0.5489999613148453</v>
      </c>
      <c r="J41" s="66">
        <f>'2.Heat Targets'!C61</f>
        <v>0.45433544387998021</v>
      </c>
      <c r="K41" s="66">
        <f>'2.Heat Targets'!D61</f>
        <v>0.35021633977129452</v>
      </c>
      <c r="L41" s="67">
        <f>'2.Heat Targets'!E61</f>
        <v>0.23932606091953121</v>
      </c>
      <c r="O41" s="109">
        <f>O40/O28</f>
        <v>14.7313771974079</v>
      </c>
      <c r="P41" s="109">
        <f>P40/P28</f>
        <v>-6.3229232488426099</v>
      </c>
      <c r="Q41" s="109">
        <f>Q40/Q28</f>
        <v>-3.7413837386781643</v>
      </c>
      <c r="R41" s="113">
        <f>R40/R28</f>
        <v>-1.578950332840755</v>
      </c>
      <c r="T41" t="str">
        <f>'2.Heat Targets'!G61</f>
        <v>This formula computes the estimated share of area residences using Wood heat  in the 90x50 scenario, based on values inputted in the "1.Current Heat" tab.</v>
      </c>
    </row>
    <row r="42" spans="9:20" x14ac:dyDescent="0.25">
      <c r="I42" s="81">
        <f>'2.Heat Targets'!B62</f>
        <v>125.16279069767441</v>
      </c>
      <c r="J42" s="82">
        <f>'2.Heat Targets'!C62</f>
        <v>500.65116279069764</v>
      </c>
      <c r="K42" s="82">
        <f>'2.Heat Targets'!D62</f>
        <v>1010.9302325581396</v>
      </c>
      <c r="L42" s="83">
        <f>'2.Heat Targets'!E62</f>
        <v>1270.8837209302326</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3.5438894054530707</v>
      </c>
      <c r="J43" s="63">
        <f>'2.Heat Targets'!C63</f>
        <v>15.001054786614175</v>
      </c>
      <c r="K43" s="63">
        <f>'2.Heat Targets'!D63</f>
        <v>31.524498425761532</v>
      </c>
      <c r="L43" s="64">
        <f>'2.Heat Targets'!E63</f>
        <v>39.991041803954893</v>
      </c>
      <c r="O43" s="62">
        <f>O42/((0.7*O34)/2.4)</f>
        <v>171.79090812155582</v>
      </c>
      <c r="P43" s="112">
        <f>P42/((0.75*P34)/2.6)</f>
        <v>-357.65868748369121</v>
      </c>
      <c r="Q43" s="112">
        <f>Q42/((0.8*Q34)/2.8)</f>
        <v>-522.71258567281552</v>
      </c>
      <c r="R43" s="64">
        <f>R42/((0.85*R34)/3)</f>
        <v>-347.65448997017756</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3.3751327670981629E-2</v>
      </c>
      <c r="J44" s="66">
        <f>'2.Heat Targets'!C64</f>
        <v>0.13478036645655142</v>
      </c>
      <c r="K44" s="66">
        <f>'2.Heat Targets'!D64</f>
        <v>0.26720658449678353</v>
      </c>
      <c r="L44" s="67">
        <f>'2.Heat Targets'!E64</f>
        <v>0.31978333187763247</v>
      </c>
      <c r="O44" s="109">
        <f>O43/O28</f>
        <v>1.6361038868719602</v>
      </c>
      <c r="P44" s="109">
        <f>P43/P28</f>
        <v>-3.2134652963494266</v>
      </c>
      <c r="Q44" s="109">
        <f>Q43/Q28</f>
        <v>-4.430593718089944</v>
      </c>
      <c r="R44" s="113">
        <f>R43/R28</f>
        <v>-2.779975367730676</v>
      </c>
      <c r="T44" t="str">
        <f>'2.Heat Targets'!G64</f>
        <v>This formula computes the estimated share of area residences using Heat Pumps in the 90x50 scenario based on values inputted above and in the "1.Current Heat" tab.</v>
      </c>
    </row>
    <row r="45" spans="9:20" x14ac:dyDescent="0.25">
      <c r="I45" s="81">
        <f>'2.Heat Targets'!B65</f>
        <v>2268.9767441860463</v>
      </c>
      <c r="J45" s="82">
        <f>'2.Heat Targets'!C65</f>
        <v>1774.7441860465117</v>
      </c>
      <c r="K45" s="82">
        <f>'2.Heat Targets'!D65</f>
        <v>1136.0930232558139</v>
      </c>
      <c r="L45" s="83">
        <f>'2.Heat Targets'!E65</f>
        <v>397.95348837209303</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18.737936610670133</v>
      </c>
      <c r="J46" s="63">
        <f>'2.Heat Targets'!C66</f>
        <v>15.339466155690904</v>
      </c>
      <c r="K46" s="63">
        <f>'2.Heat Targets'!D66</f>
        <v>10.122151875482615</v>
      </c>
      <c r="L46" s="64">
        <f>'2.Heat Targets'!E66</f>
        <v>3.5480267728424626</v>
      </c>
      <c r="O46" s="62">
        <f>O45/O34</f>
        <v>1957.5018642371056</v>
      </c>
      <c r="P46" s="62">
        <f>P45/P34</f>
        <v>-680.13302573133467</v>
      </c>
      <c r="Q46" s="62">
        <f>Q45/Q34</f>
        <v>-266.60647404405512</v>
      </c>
      <c r="R46" s="112">
        <f>R45/R34</f>
        <v>-29.610019911092316</v>
      </c>
      <c r="T46" t="str">
        <f>'2.Heat Targets'!G66</f>
        <v>This formula computes the estimates number of area residences using fossil heat in the 90x50 scenario based on values inputted in the "1.Current Heat" tab.</v>
      </c>
    </row>
    <row r="47" spans="9:20" x14ac:dyDescent="0.25">
      <c r="I47" s="65">
        <f>'2.Heat Targets'!B67</f>
        <v>0.17845653914923937</v>
      </c>
      <c r="J47" s="66">
        <f>'2.Heat Targets'!C67</f>
        <v>0.13782089987143667</v>
      </c>
      <c r="K47" s="66">
        <f>'2.Heat Targets'!D67</f>
        <v>8.5796944137742734E-2</v>
      </c>
      <c r="L47" s="67">
        <f>'2.Heat Targets'!E67</f>
        <v>2.8371349478032375E-2</v>
      </c>
      <c r="O47" s="109">
        <f>O46/O28</f>
        <v>18.642874897496242</v>
      </c>
      <c r="P47" s="109">
        <f>P46/P28</f>
        <v>-6.1108088565259173</v>
      </c>
      <c r="Q47" s="109">
        <f>Q46/Q28</f>
        <v>-2.2597982169900748</v>
      </c>
      <c r="R47" s="113">
        <f>R46/R28</f>
        <v>-0.23677279703165244</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workbookViewId="0"/>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59" t="s">
        <v>492</v>
      </c>
      <c r="C3" s="260"/>
      <c r="D3" s="260"/>
      <c r="E3" s="260"/>
      <c r="F3" s="260"/>
      <c r="G3" s="260"/>
      <c r="H3" s="260"/>
      <c r="I3" s="260"/>
      <c r="J3" s="260"/>
      <c r="K3" s="261"/>
      <c r="O3" t="s">
        <v>213</v>
      </c>
    </row>
    <row r="4" spans="2:15" x14ac:dyDescent="0.25">
      <c r="B4" s="101"/>
      <c r="C4" s="238" t="s">
        <v>493</v>
      </c>
      <c r="D4" s="238"/>
      <c r="E4" s="238"/>
      <c r="F4" s="238"/>
      <c r="G4" s="238"/>
      <c r="H4" s="238"/>
      <c r="I4" s="238"/>
      <c r="J4" s="238"/>
      <c r="K4" s="249"/>
      <c r="O4" t="s">
        <v>246</v>
      </c>
    </row>
    <row r="5" spans="2:15" x14ac:dyDescent="0.25">
      <c r="B5" s="101"/>
      <c r="C5" s="238" t="s">
        <v>155</v>
      </c>
      <c r="D5" s="238"/>
      <c r="E5" s="238"/>
      <c r="F5" s="238"/>
      <c r="G5" s="238"/>
      <c r="H5" s="238"/>
      <c r="I5" s="238"/>
      <c r="J5" s="238"/>
      <c r="K5" s="249"/>
      <c r="O5" t="s">
        <v>285</v>
      </c>
    </row>
    <row r="6" spans="2:15" x14ac:dyDescent="0.25">
      <c r="B6" s="101"/>
      <c r="C6" s="102"/>
      <c r="D6" s="238" t="s">
        <v>153</v>
      </c>
      <c r="E6" s="238"/>
      <c r="F6" s="238"/>
      <c r="G6" s="238"/>
      <c r="H6" s="238"/>
      <c r="I6" s="238"/>
      <c r="J6" s="238"/>
      <c r="K6" s="249"/>
      <c r="O6" t="s">
        <v>290</v>
      </c>
    </row>
    <row r="7" spans="2:15" x14ac:dyDescent="0.25">
      <c r="B7" s="101"/>
      <c r="C7" s="102"/>
      <c r="D7" s="238" t="s">
        <v>154</v>
      </c>
      <c r="E7" s="238"/>
      <c r="F7" s="238"/>
      <c r="G7" s="238"/>
      <c r="H7" s="238"/>
      <c r="I7" s="238"/>
      <c r="J7" s="238"/>
      <c r="K7" s="249"/>
      <c r="O7" t="s">
        <v>323</v>
      </c>
    </row>
    <row r="8" spans="2:15" x14ac:dyDescent="0.25">
      <c r="B8" s="101"/>
      <c r="C8" s="102"/>
      <c r="D8" s="262" t="s">
        <v>156</v>
      </c>
      <c r="E8" s="262"/>
      <c r="F8" s="262"/>
      <c r="G8" s="262"/>
      <c r="H8" s="262"/>
      <c r="I8" s="262"/>
      <c r="J8" s="262"/>
      <c r="K8" s="263"/>
      <c r="O8" t="s">
        <v>324</v>
      </c>
    </row>
    <row r="9" spans="2:15" x14ac:dyDescent="0.25">
      <c r="B9" s="101"/>
      <c r="C9" s="102"/>
      <c r="D9" s="102"/>
      <c r="E9" s="102"/>
      <c r="F9" s="102"/>
      <c r="G9" s="102"/>
      <c r="H9" s="102"/>
      <c r="I9" s="102"/>
      <c r="J9" s="102"/>
      <c r="K9" s="103"/>
      <c r="O9" t="s">
        <v>397</v>
      </c>
    </row>
    <row r="10" spans="2:15" ht="15" customHeight="1" x14ac:dyDescent="0.25">
      <c r="B10" s="240" t="s">
        <v>468</v>
      </c>
      <c r="C10" s="241"/>
      <c r="D10" s="241"/>
      <c r="E10" s="241"/>
      <c r="F10" s="241"/>
      <c r="G10" s="241"/>
      <c r="H10" s="241"/>
      <c r="I10" s="264" t="s">
        <v>231</v>
      </c>
      <c r="J10" s="264"/>
      <c r="K10" s="264"/>
      <c r="O10" t="s">
        <v>431</v>
      </c>
    </row>
    <row r="11" spans="2:15" ht="15" customHeight="1" x14ac:dyDescent="0.25">
      <c r="B11" s="240" t="s">
        <v>469</v>
      </c>
      <c r="C11" s="241"/>
      <c r="D11" s="241"/>
      <c r="E11" s="241"/>
      <c r="F11" s="241"/>
      <c r="G11" s="241"/>
      <c r="H11" s="242"/>
      <c r="I11" s="250">
        <f>INDEX(town_population[Pop Share of State],MATCH(I10,town_population[Municipality]))</f>
        <v>3.304819288649622E-4</v>
      </c>
      <c r="J11" s="251"/>
      <c r="K11" s="252"/>
      <c r="O11" t="s">
        <v>433</v>
      </c>
    </row>
    <row r="12" spans="2:15" ht="15" customHeight="1" x14ac:dyDescent="0.25">
      <c r="B12" s="204" t="s">
        <v>507</v>
      </c>
      <c r="C12" s="205"/>
      <c r="D12" s="205"/>
      <c r="E12" s="205"/>
      <c r="F12" s="205"/>
      <c r="G12" s="205"/>
      <c r="H12" s="205"/>
      <c r="I12" s="250">
        <f>INDEX(town_population[Pop Share of Region],MATCH(I10,town_population[Municipality],0))</f>
        <v>3.2093023255813954E-3</v>
      </c>
      <c r="J12" s="251"/>
      <c r="K12" s="252"/>
    </row>
    <row r="13" spans="2:15" ht="15" customHeight="1" x14ac:dyDescent="0.25">
      <c r="B13" s="256" t="s">
        <v>499</v>
      </c>
      <c r="C13" s="257"/>
      <c r="D13" s="257"/>
      <c r="E13" s="257"/>
      <c r="F13" s="257"/>
      <c r="G13" s="257"/>
      <c r="H13" s="257"/>
      <c r="I13" s="257"/>
      <c r="J13" s="257"/>
      <c r="K13" s="258"/>
    </row>
    <row r="14" spans="2:15" ht="15" customHeight="1" x14ac:dyDescent="0.25">
      <c r="B14" s="206" t="s">
        <v>513</v>
      </c>
      <c r="C14" s="207"/>
      <c r="D14" s="207"/>
      <c r="E14" s="207"/>
      <c r="F14" s="207"/>
      <c r="G14" s="207"/>
      <c r="H14" s="207"/>
      <c r="I14" s="253">
        <f>INDEX(town_establishments[share of state establishments],MATCH(I10,town_establishments[Municipality],0))</f>
        <v>1.0503098414032139E-4</v>
      </c>
      <c r="J14" s="254"/>
      <c r="K14" s="255"/>
    </row>
    <row r="15" spans="2:15" ht="15" customHeight="1" x14ac:dyDescent="0.25">
      <c r="B15" s="206" t="s">
        <v>514</v>
      </c>
      <c r="C15" s="207"/>
      <c r="D15" s="207"/>
      <c r="E15" s="207"/>
      <c r="F15" s="207"/>
      <c r="G15" s="207"/>
      <c r="H15" s="207"/>
      <c r="I15" s="250">
        <f>INDEX(town_establishments[share of regional establishments],MATCH(I10,town_establishments[Municipality],0))</f>
        <v>1.3708019191226866E-3</v>
      </c>
      <c r="J15" s="251"/>
      <c r="K15" s="252"/>
    </row>
    <row r="16" spans="2:15" ht="15" customHeight="1" x14ac:dyDescent="0.25">
      <c r="B16" s="256" t="s">
        <v>499</v>
      </c>
      <c r="C16" s="257"/>
      <c r="D16" s="257"/>
      <c r="E16" s="257"/>
      <c r="F16" s="257"/>
      <c r="G16" s="257"/>
      <c r="H16" s="257"/>
      <c r="I16" s="257"/>
      <c r="J16" s="257"/>
      <c r="K16" s="25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8" t="s">
        <v>157</v>
      </c>
      <c r="D20" s="238"/>
      <c r="E20" s="238"/>
      <c r="F20" s="238"/>
      <c r="G20" s="238"/>
      <c r="H20" s="238"/>
      <c r="I20" s="201" t="s">
        <v>497</v>
      </c>
      <c r="J20" s="102"/>
      <c r="K20" s="103"/>
    </row>
    <row r="21" spans="1:15" ht="15" customHeight="1" x14ac:dyDescent="0.25">
      <c r="B21" s="101"/>
      <c r="C21" s="238" t="s">
        <v>495</v>
      </c>
      <c r="D21" s="238"/>
      <c r="E21" s="238"/>
      <c r="F21" s="238"/>
      <c r="G21" s="238"/>
      <c r="H21" s="23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19" zoomScale="70" zoomScaleNormal="70" workbookViewId="0">
      <selection activeCell="B32" sqref="B32"/>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14338.612135909092</v>
      </c>
      <c r="C5" s="265"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191</v>
      </c>
      <c r="C9" s="268" t="s">
        <v>483</v>
      </c>
      <c r="D9" s="266"/>
      <c r="E9" s="266"/>
      <c r="F9" s="266"/>
      <c r="G9" s="266"/>
      <c r="H9" s="266"/>
      <c r="I9" s="266"/>
      <c r="J9" s="266"/>
      <c r="K9" s="266"/>
      <c r="L9" s="266"/>
      <c r="M9" s="266"/>
      <c r="N9" s="266"/>
    </row>
    <row r="10" spans="1:16" ht="36" customHeight="1" x14ac:dyDescent="0.25">
      <c r="B10" s="21"/>
      <c r="C10" s="31"/>
      <c r="D10" s="125" t="s">
        <v>60</v>
      </c>
      <c r="E10" s="269" t="s">
        <v>64</v>
      </c>
      <c r="F10" s="269"/>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70"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70"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121545.45454545454</v>
      </c>
      <c r="C18" s="267" t="s">
        <v>43</v>
      </c>
      <c r="D18" s="267"/>
      <c r="E18" s="267"/>
      <c r="F18" s="267"/>
      <c r="G18" s="267"/>
      <c r="H18" s="267"/>
      <c r="I18" s="267"/>
      <c r="J18" s="267"/>
      <c r="K18" s="267"/>
      <c r="L18" s="267"/>
      <c r="M18" s="267"/>
      <c r="N18" s="267"/>
    </row>
    <row r="19" spans="1:14" ht="36" customHeight="1" x14ac:dyDescent="0.25">
      <c r="A19" s="32">
        <v>4</v>
      </c>
      <c r="B19" s="121">
        <v>0.09</v>
      </c>
      <c r="C19" s="270" t="s">
        <v>486</v>
      </c>
      <c r="D19" s="266"/>
      <c r="E19" s="266"/>
      <c r="F19" s="266"/>
      <c r="G19" s="266"/>
      <c r="H19" s="266"/>
      <c r="I19" s="266"/>
      <c r="J19" s="266"/>
      <c r="K19" s="266"/>
      <c r="L19" s="266"/>
      <c r="M19" s="266"/>
      <c r="N19" s="266"/>
    </row>
    <row r="20" spans="1:14" ht="36" customHeight="1" x14ac:dyDescent="0.25">
      <c r="B20" s="120">
        <f>(1-B19)*B18</f>
        <v>110606.36363636363</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13411.961745000001</v>
      </c>
      <c r="C22" s="266" t="s">
        <v>66</v>
      </c>
      <c r="D22" s="266"/>
      <c r="E22" s="266"/>
      <c r="F22" s="266"/>
      <c r="G22" s="266"/>
      <c r="H22" s="266"/>
      <c r="I22" s="266"/>
      <c r="J22" s="266"/>
      <c r="K22" s="266"/>
      <c r="L22" s="266"/>
      <c r="M22" s="266"/>
      <c r="N22" s="266"/>
    </row>
    <row r="23" spans="1:14" ht="36" customHeight="1" x14ac:dyDescent="0.25">
      <c r="B23" s="120">
        <f>B18-B20</f>
        <v>10939.090909090912</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926.65039090909113</v>
      </c>
      <c r="C25" s="266" t="s">
        <v>69</v>
      </c>
      <c r="D25" s="266"/>
      <c r="E25" s="266"/>
      <c r="F25" s="266"/>
      <c r="G25" s="266"/>
      <c r="H25" s="266"/>
      <c r="I25" s="266"/>
      <c r="J25" s="266"/>
      <c r="K25" s="266"/>
      <c r="L25" s="266"/>
      <c r="M25" s="266"/>
      <c r="N25" s="266"/>
    </row>
    <row r="26" spans="1:14" ht="36" customHeight="1" x14ac:dyDescent="0.25">
      <c r="B26" s="122">
        <f>B22+B25</f>
        <v>14338.612135909092</v>
      </c>
      <c r="C26" s="265"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0</v>
      </c>
      <c r="C32" s="270"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0</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0</v>
      </c>
      <c r="C38" s="271"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0" sqref="B10"/>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13777.416014826556</v>
      </c>
      <c r="C4" s="265"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105</v>
      </c>
      <c r="C8" s="277" t="s">
        <v>79</v>
      </c>
      <c r="D8" s="267"/>
      <c r="E8" s="267"/>
      <c r="F8" s="267"/>
      <c r="G8" s="267"/>
      <c r="H8" s="267"/>
      <c r="I8" s="267"/>
      <c r="J8" s="267"/>
      <c r="K8" s="267"/>
      <c r="L8" s="267"/>
      <c r="M8" s="267"/>
      <c r="N8" s="267"/>
    </row>
    <row r="9" spans="1:15" ht="42.75" customHeight="1" x14ac:dyDescent="0.25">
      <c r="B9" s="56"/>
      <c r="C9" s="26"/>
      <c r="D9" s="57" t="s">
        <v>92</v>
      </c>
      <c r="E9" s="276" t="s">
        <v>64</v>
      </c>
      <c r="F9" s="276"/>
      <c r="G9" s="267" t="s">
        <v>81</v>
      </c>
      <c r="H9" s="267"/>
      <c r="I9" s="267"/>
      <c r="J9" s="267"/>
      <c r="K9" s="267"/>
      <c r="L9" s="267"/>
      <c r="M9" s="267"/>
      <c r="N9" s="267"/>
    </row>
    <row r="10" spans="1:15" ht="52.5" customHeight="1" x14ac:dyDescent="0.25">
      <c r="A10" s="54">
        <v>2</v>
      </c>
      <c r="B10" s="36">
        <v>121.09</v>
      </c>
      <c r="C10" s="272" t="s">
        <v>543</v>
      </c>
      <c r="D10" s="273"/>
      <c r="E10" s="273"/>
      <c r="F10" s="273"/>
      <c r="G10" s="273"/>
      <c r="H10" s="273"/>
      <c r="I10" s="273"/>
      <c r="J10" s="273"/>
      <c r="K10" s="273"/>
      <c r="L10" s="273"/>
      <c r="M10" s="273"/>
      <c r="N10" s="273"/>
      <c r="O10" s="212">
        <f>SUM('2.Heat Targets'!E58,'2.Heat Targets'!E61,'2.Heat Targets'!E64,'2.Heat Targets'!E67)</f>
        <v>0.61653849536963234</v>
      </c>
    </row>
    <row r="11" spans="1:15" ht="42.75" customHeight="1" x14ac:dyDescent="0.25">
      <c r="B11" s="54"/>
      <c r="C11" s="59"/>
      <c r="D11" s="33" t="s">
        <v>58</v>
      </c>
      <c r="E11" s="273" t="s">
        <v>86</v>
      </c>
      <c r="F11" s="273"/>
      <c r="G11" s="273"/>
      <c r="H11" s="273"/>
      <c r="I11" s="273"/>
      <c r="J11" s="273"/>
      <c r="K11" s="273"/>
      <c r="L11" s="273"/>
      <c r="M11" s="273"/>
      <c r="N11" s="273"/>
    </row>
    <row r="12" spans="1:15" ht="42.75" customHeight="1" x14ac:dyDescent="0.25">
      <c r="B12" s="56"/>
      <c r="C12" s="60"/>
      <c r="D12" s="34">
        <v>0.26</v>
      </c>
      <c r="E12" s="273" t="s">
        <v>83</v>
      </c>
      <c r="F12" s="273"/>
      <c r="G12" s="273"/>
      <c r="H12" s="273"/>
      <c r="I12" s="273"/>
      <c r="J12" s="273"/>
      <c r="K12" s="273"/>
      <c r="L12" s="273"/>
      <c r="M12" s="273"/>
      <c r="N12" s="273"/>
    </row>
    <row r="13" spans="1:15" ht="42.75" customHeight="1" x14ac:dyDescent="0.25">
      <c r="B13" s="56"/>
      <c r="C13" s="60"/>
      <c r="D13" s="34">
        <v>0.5</v>
      </c>
      <c r="E13" s="273" t="s">
        <v>84</v>
      </c>
      <c r="F13" s="273"/>
      <c r="G13" s="273"/>
      <c r="H13" s="273"/>
      <c r="I13" s="273"/>
      <c r="J13" s="273"/>
      <c r="K13" s="273"/>
      <c r="L13" s="273"/>
      <c r="M13" s="273"/>
      <c r="N13" s="273"/>
    </row>
    <row r="14" spans="1:15" ht="42.75" customHeight="1" x14ac:dyDescent="0.25">
      <c r="B14" s="56"/>
      <c r="C14" s="60"/>
      <c r="D14" s="34">
        <v>0.2</v>
      </c>
      <c r="E14" s="273" t="s">
        <v>85</v>
      </c>
      <c r="F14" s="273"/>
      <c r="G14" s="273"/>
      <c r="H14" s="273"/>
      <c r="I14" s="273"/>
      <c r="J14" s="273"/>
      <c r="K14" s="273"/>
      <c r="L14" s="273"/>
      <c r="M14" s="273"/>
      <c r="N14" s="273"/>
    </row>
    <row r="15" spans="1:15" ht="42.75" customHeight="1" x14ac:dyDescent="0.25">
      <c r="B15" s="56"/>
      <c r="C15" s="60"/>
      <c r="D15" s="35">
        <v>2.2999999999999998</v>
      </c>
      <c r="E15" s="273" t="s">
        <v>87</v>
      </c>
      <c r="F15" s="273"/>
      <c r="G15" s="273"/>
      <c r="H15" s="273"/>
      <c r="I15" s="273"/>
      <c r="J15" s="273"/>
      <c r="K15" s="273"/>
      <c r="L15" s="273"/>
      <c r="M15" s="273"/>
      <c r="N15" s="273"/>
    </row>
    <row r="16" spans="1:15" ht="42.75" customHeight="1" x14ac:dyDescent="0.25">
      <c r="B16" s="56"/>
      <c r="C16" s="60"/>
      <c r="D16" s="34">
        <f>(20000*1.25)/257000</f>
        <v>9.727626459143969E-2</v>
      </c>
      <c r="E16" s="273" t="s">
        <v>93</v>
      </c>
      <c r="F16" s="273"/>
      <c r="G16" s="273"/>
      <c r="H16" s="273"/>
      <c r="I16" s="273"/>
      <c r="J16" s="273"/>
      <c r="K16" s="273"/>
      <c r="L16" s="273"/>
      <c r="M16" s="273"/>
      <c r="N16" s="273"/>
    </row>
    <row r="17" spans="1:17" x14ac:dyDescent="0.25">
      <c r="B17" s="56"/>
      <c r="C17" s="27"/>
      <c r="F17" s="26"/>
      <c r="G17" s="27"/>
      <c r="H17" s="27"/>
      <c r="I17" s="27"/>
      <c r="J17" s="27"/>
      <c r="K17" s="27"/>
      <c r="L17" s="27"/>
    </row>
    <row r="18" spans="1:17" ht="42.75" customHeight="1" x14ac:dyDescent="0.25">
      <c r="B18" s="55">
        <f>B8*B10</f>
        <v>12714.45</v>
      </c>
      <c r="C18" s="271"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2</v>
      </c>
      <c r="C22" s="268"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531.48300741327773</v>
      </c>
      <c r="C24" s="274" t="s">
        <v>541</v>
      </c>
      <c r="D24" s="275"/>
      <c r="E24" s="275"/>
      <c r="F24" s="275"/>
      <c r="G24" s="275"/>
      <c r="H24" s="275"/>
      <c r="I24" s="275"/>
      <c r="J24" s="275"/>
      <c r="K24" s="275"/>
      <c r="L24" s="275"/>
      <c r="M24" s="275"/>
      <c r="N24" s="275"/>
      <c r="O24" s="212">
        <f ca="1">SUM('2.Heat Targets'!E76,'2.Heat Targets'!E79,'2.Heat Targets'!E82,'2.Heat Targets'!E85)</f>
        <v>0.93968268136926403</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0</v>
      </c>
      <c r="L28" s="41">
        <f t="shared" ca="1" si="1"/>
        <v>0</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0</v>
      </c>
      <c r="L29" s="41">
        <f t="shared" ca="1" si="1"/>
        <v>0</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1</v>
      </c>
      <c r="L31" s="41">
        <f t="shared" ca="1" si="1"/>
        <v>0.5</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0</v>
      </c>
      <c r="L32" s="41">
        <f t="shared" ca="1" si="1"/>
        <v>0</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0</v>
      </c>
      <c r="L33" s="41">
        <f t="shared" ca="1" si="1"/>
        <v>0</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1</v>
      </c>
      <c r="L35" s="41">
        <f t="shared" ca="1" si="1"/>
        <v>0.5</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0</v>
      </c>
      <c r="L36" s="41">
        <f t="shared" ca="1" si="1"/>
        <v>0</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0</v>
      </c>
      <c r="L37" s="41">
        <f t="shared" ca="1" si="1"/>
        <v>0</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0</v>
      </c>
      <c r="L39" s="41">
        <f t="shared" ca="1" si="1"/>
        <v>0</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0</v>
      </c>
      <c r="L40" s="41">
        <f t="shared" ca="1" si="1"/>
        <v>0</v>
      </c>
      <c r="Q40" s="23"/>
    </row>
    <row r="41" spans="2:19" ht="33" customHeight="1" x14ac:dyDescent="0.25">
      <c r="B41" s="54"/>
      <c r="D41" s="42"/>
      <c r="E41" s="185">
        <f>SUM(E27:E40)</f>
        <v>18617</v>
      </c>
      <c r="F41" s="185"/>
      <c r="G41" s="185">
        <f>SUM(G27:G40)</f>
        <v>201453</v>
      </c>
      <c r="H41" s="43"/>
      <c r="I41" s="44">
        <v>13000000</v>
      </c>
      <c r="J41" s="43"/>
      <c r="K41" s="185">
        <f ca="1">SUM(K27:K40)</f>
        <v>2</v>
      </c>
      <c r="L41" s="45">
        <f ca="1">SUMPRODUCT(J27:J40,L27:L40)</f>
        <v>531.48300741327773</v>
      </c>
      <c r="M41" s="278" t="s">
        <v>542</v>
      </c>
      <c r="N41" s="279"/>
      <c r="O41" s="279"/>
      <c r="P41" s="279"/>
      <c r="Q41" s="279"/>
      <c r="R41" s="279"/>
      <c r="S41" s="279"/>
    </row>
    <row r="42" spans="2:19" ht="22.5" customHeight="1" x14ac:dyDescent="0.25">
      <c r="B42" s="54"/>
    </row>
    <row r="43" spans="2:19" ht="37.5" customHeight="1" x14ac:dyDescent="0.25">
      <c r="B43" s="55">
        <f ca="1">B22*B24</f>
        <v>1062.9660148265555</v>
      </c>
      <c r="C43" s="271" t="s">
        <v>488</v>
      </c>
      <c r="D43" s="267"/>
      <c r="E43" s="267"/>
      <c r="F43" s="267"/>
      <c r="G43" s="267"/>
      <c r="H43" s="267"/>
      <c r="I43" s="267"/>
      <c r="J43" s="267"/>
      <c r="K43" s="267"/>
      <c r="L43" s="267"/>
      <c r="M43" s="267"/>
      <c r="N43" s="267"/>
    </row>
    <row r="45" spans="2:19" ht="37.5" customHeight="1" x14ac:dyDescent="0.25">
      <c r="B45" s="194">
        <f ca="1">SUMPRODUCT(K27:K40,H27:H40)/SUMPRODUCT(E27:E40,H27:H40)</f>
        <v>7.6070923372890975E-5</v>
      </c>
      <c r="C45" s="266" t="s">
        <v>489</v>
      </c>
      <c r="D45" s="266"/>
      <c r="E45" s="266"/>
      <c r="F45" s="266"/>
      <c r="G45" s="266"/>
      <c r="H45" s="266"/>
      <c r="I45" s="266"/>
      <c r="J45" s="266"/>
      <c r="K45" s="266"/>
      <c r="L45" s="266"/>
      <c r="M45" s="266"/>
      <c r="N45" s="266"/>
      <c r="O45" s="266"/>
    </row>
    <row r="52" spans="4:4" x14ac:dyDescent="0.25">
      <c r="D52" s="23"/>
    </row>
  </sheetData>
  <mergeCells count="17">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6" t="s">
        <v>491</v>
      </c>
      <c r="C4" s="287"/>
      <c r="D4" s="287"/>
      <c r="E4" s="287"/>
      <c r="F4" s="287"/>
      <c r="G4" s="287"/>
      <c r="H4" s="287"/>
      <c r="I4" s="287"/>
      <c r="J4" s="287"/>
      <c r="K4" s="287"/>
      <c r="L4" s="287"/>
      <c r="M4" s="287"/>
      <c r="N4" s="288"/>
    </row>
    <row r="5" spans="2:15" ht="19.5" customHeight="1" x14ac:dyDescent="0.25">
      <c r="B5" s="289"/>
      <c r="C5" s="290"/>
      <c r="D5" s="290"/>
      <c r="E5" s="290"/>
      <c r="F5" s="290"/>
      <c r="G5" s="290"/>
      <c r="H5" s="290"/>
      <c r="I5" s="290"/>
      <c r="J5" s="290"/>
      <c r="K5" s="290"/>
      <c r="L5" s="290"/>
      <c r="M5" s="290"/>
      <c r="N5" s="291"/>
    </row>
    <row r="6" spans="2:15" ht="19.5" customHeight="1" x14ac:dyDescent="0.25">
      <c r="B6" s="292"/>
      <c r="C6" s="293"/>
      <c r="D6" s="293"/>
      <c r="E6" s="293"/>
      <c r="F6" s="293"/>
      <c r="G6" s="293"/>
      <c r="H6" s="293"/>
      <c r="I6" s="293"/>
      <c r="J6" s="293"/>
      <c r="K6" s="293"/>
      <c r="L6" s="293"/>
      <c r="M6" s="293"/>
      <c r="N6" s="29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5" t="s">
        <v>150</v>
      </c>
      <c r="N11" s="296"/>
      <c r="O11" s="297"/>
    </row>
    <row r="12" spans="2:15" x14ac:dyDescent="0.25">
      <c r="B12" s="1">
        <v>100</v>
      </c>
      <c r="C12" s="2" t="s">
        <v>99</v>
      </c>
      <c r="D12" s="2"/>
      <c r="E12" s="2"/>
      <c r="F12" s="2"/>
      <c r="G12" s="2"/>
      <c r="H12" s="2"/>
      <c r="I12" s="2"/>
      <c r="J12" s="2"/>
      <c r="K12" s="3"/>
      <c r="M12" s="298"/>
      <c r="N12" s="299"/>
      <c r="O12" s="30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5" t="s">
        <v>168</v>
      </c>
      <c r="N14" s="296"/>
      <c r="O14" s="297"/>
    </row>
    <row r="15" spans="2:15" x14ac:dyDescent="0.25">
      <c r="B15" s="1">
        <v>100</v>
      </c>
      <c r="C15" s="114" t="s">
        <v>164</v>
      </c>
      <c r="D15" s="2"/>
      <c r="E15" s="2"/>
      <c r="F15" s="2"/>
      <c r="G15" s="2"/>
      <c r="H15" s="2"/>
      <c r="I15" s="2"/>
      <c r="J15" s="2"/>
      <c r="K15" s="3"/>
      <c r="M15" s="298"/>
      <c r="N15" s="299"/>
      <c r="O15" s="30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5" t="s">
        <v>169</v>
      </c>
      <c r="N17" s="296"/>
      <c r="O17" s="297"/>
    </row>
    <row r="18" spans="2:18" x14ac:dyDescent="0.25">
      <c r="B18" s="1">
        <v>100</v>
      </c>
      <c r="C18" s="2" t="s">
        <v>161</v>
      </c>
      <c r="D18" s="2"/>
      <c r="E18" s="2"/>
      <c r="F18" s="2"/>
      <c r="G18" s="2"/>
      <c r="H18" s="2"/>
      <c r="I18" s="2"/>
      <c r="J18" s="2"/>
      <c r="K18" s="3"/>
      <c r="M18" s="298"/>
      <c r="N18" s="299"/>
      <c r="O18" s="30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16325.720930232559</v>
      </c>
      <c r="C24" s="129">
        <f>'LEAP Region'!C14*1000</f>
        <v>13687.674418604651</v>
      </c>
      <c r="D24" s="129">
        <f>'LEAP Region'!D14*1000</f>
        <v>11309.581395348838</v>
      </c>
      <c r="E24" s="130">
        <f>'LEAP Region'!E14*1000</f>
        <v>7718.3720930232575</v>
      </c>
      <c r="G24" s="301" t="s">
        <v>122</v>
      </c>
      <c r="H24" s="301"/>
      <c r="I24" s="301"/>
      <c r="J24" s="301"/>
      <c r="K24" s="301"/>
      <c r="L24" s="301"/>
      <c r="M24" s="301"/>
      <c r="N24" s="301"/>
    </row>
    <row r="25" spans="2:18" ht="56.25" customHeight="1" x14ac:dyDescent="0.25">
      <c r="B25" s="178">
        <f>('LEAP Region'!B7+'LEAP Region'!B8)*(2.4-1)*1000</f>
        <v>130.29767441860466</v>
      </c>
      <c r="C25" s="179">
        <f>('LEAP Region'!C7+'LEAP Region'!C8)*(2.6-1)*1000</f>
        <v>698.3441860465116</v>
      </c>
      <c r="D25" s="179">
        <f>('LEAP Region'!D7+'LEAP Region'!D8)*(2.8-1)*1000</f>
        <v>1374.8651162790698</v>
      </c>
      <c r="E25" s="180">
        <f>('LEAP Region'!E7+'LEAP Region'!E8)*(2.3-1)*1000</f>
        <v>1472.7488372093023</v>
      </c>
      <c r="G25" s="301" t="s">
        <v>178</v>
      </c>
      <c r="H25" s="301"/>
      <c r="I25" s="301"/>
      <c r="J25" s="301"/>
      <c r="K25" s="301"/>
      <c r="L25" s="301"/>
      <c r="M25" s="301"/>
      <c r="N25" s="301"/>
    </row>
    <row r="26" spans="2:18" ht="56.25" customHeight="1" x14ac:dyDescent="0.25">
      <c r="B26" s="128">
        <f>'LEAP Region'!H14*1000</f>
        <v>15905.302325581395</v>
      </c>
      <c r="C26" s="129">
        <f>'LEAP Region'!I14*1000</f>
        <v>12984.837209302326</v>
      </c>
      <c r="D26" s="129">
        <f>'LEAP Region'!J14*1000</f>
        <v>9820.4651162790706</v>
      </c>
      <c r="E26" s="130">
        <f>'LEAP Region'!K14*1000</f>
        <v>5532.8372093023254</v>
      </c>
      <c r="G26" s="301" t="s">
        <v>123</v>
      </c>
      <c r="H26" s="301"/>
      <c r="I26" s="301"/>
      <c r="J26" s="301"/>
      <c r="K26" s="301"/>
      <c r="L26" s="301"/>
      <c r="M26" s="301"/>
      <c r="N26" s="301"/>
    </row>
    <row r="27" spans="2:18" ht="56.25" customHeight="1" thickBot="1" x14ac:dyDescent="0.3">
      <c r="B27" s="181">
        <f>('LEAP Region'!H7+'LEAP Region'!H8)*(2.4-1)*1000</f>
        <v>175.22790697674418</v>
      </c>
      <c r="C27" s="182">
        <f>('LEAP Region'!I7+'LEAP Region'!I8)*(2.6-1)*1000</f>
        <v>801.04186046511632</v>
      </c>
      <c r="D27" s="182">
        <f>('LEAP Region'!J7+'LEAP Region'!J8)*(2.8-1)*1000</f>
        <v>1819.674418604651</v>
      </c>
      <c r="E27" s="183">
        <f>('LEAP Region'!K7+'LEAP Region'!K8)*(3-1)*1000</f>
        <v>2541.7674418604652</v>
      </c>
      <c r="G27" s="301" t="s">
        <v>178</v>
      </c>
      <c r="H27" s="301"/>
      <c r="I27" s="301"/>
      <c r="J27" s="301"/>
      <c r="K27" s="301"/>
      <c r="L27" s="301"/>
      <c r="M27" s="301"/>
      <c r="N27" s="301"/>
    </row>
    <row r="28" spans="2:18" ht="56.25" customHeight="1" thickTop="1" x14ac:dyDescent="0.25">
      <c r="B28" s="128">
        <f>B24+B25-B26-B27</f>
        <v>375.48837209302337</v>
      </c>
      <c r="C28" s="129">
        <f>C24+C25-C26-C27</f>
        <v>600.13953488371999</v>
      </c>
      <c r="D28" s="129">
        <f>D24+D25-D26-D27</f>
        <v>1044.3069767441864</v>
      </c>
      <c r="E28" s="130">
        <f>E24+E25-E26-E27</f>
        <v>1116.51627906977</v>
      </c>
      <c r="G28" s="301" t="s">
        <v>177</v>
      </c>
      <c r="H28" s="301"/>
      <c r="I28" s="301"/>
      <c r="J28" s="301"/>
      <c r="K28" s="301"/>
      <c r="L28" s="301"/>
      <c r="M28" s="301"/>
      <c r="N28" s="301"/>
    </row>
    <row r="29" spans="2:18" ht="56.25" customHeight="1" x14ac:dyDescent="0.25">
      <c r="B29" s="280">
        <f>0.25*'1.Current Heat'!B10</f>
        <v>30.272500000000001</v>
      </c>
      <c r="C29" s="281"/>
      <c r="D29" s="281"/>
      <c r="E29" s="282"/>
      <c r="G29" s="301" t="s">
        <v>124</v>
      </c>
      <c r="H29" s="301"/>
      <c r="I29" s="301"/>
      <c r="J29" s="301"/>
      <c r="K29" s="301"/>
      <c r="L29" s="301"/>
      <c r="M29" s="301"/>
      <c r="N29" s="301"/>
      <c r="R29">
        <v>60</v>
      </c>
    </row>
    <row r="30" spans="2:18" ht="56.25" customHeight="1" x14ac:dyDescent="0.25">
      <c r="B30" s="128">
        <f>B28/$B$29</f>
        <v>12.40361291908575</v>
      </c>
      <c r="C30" s="129">
        <f>C28/$B$29</f>
        <v>19.824577913410518</v>
      </c>
      <c r="D30" s="129">
        <f>D28/$B$29</f>
        <v>34.496885845047032</v>
      </c>
      <c r="E30" s="130">
        <f>E28/$B$29</f>
        <v>36.882196021794364</v>
      </c>
      <c r="G30" s="301" t="s">
        <v>125</v>
      </c>
      <c r="H30" s="301"/>
      <c r="I30" s="301"/>
      <c r="J30" s="301"/>
      <c r="K30" s="301"/>
      <c r="L30" s="301"/>
      <c r="M30" s="301"/>
      <c r="N30" s="301"/>
      <c r="R30">
        <v>96</v>
      </c>
    </row>
    <row r="31" spans="2:18" ht="56.25" customHeight="1" x14ac:dyDescent="0.25">
      <c r="B31" s="131">
        <f>'1.Current Heat'!B8</f>
        <v>105</v>
      </c>
      <c r="C31" s="132">
        <f t="shared" ref="C31:E31" si="0">B31*1.06</f>
        <v>111.30000000000001</v>
      </c>
      <c r="D31" s="132">
        <f t="shared" si="0"/>
        <v>117.97800000000002</v>
      </c>
      <c r="E31" s="133">
        <f t="shared" si="0"/>
        <v>125.05668000000003</v>
      </c>
      <c r="G31" s="301" t="s">
        <v>126</v>
      </c>
      <c r="H31" s="301"/>
      <c r="I31" s="301"/>
      <c r="J31" s="301"/>
      <c r="K31" s="301"/>
      <c r="L31" s="301"/>
      <c r="M31" s="301"/>
      <c r="N31" s="301"/>
      <c r="O31" s="186">
        <f>(E31/B31)^(1/(E23-B23))-1</f>
        <v>5.006971033976404E-3</v>
      </c>
      <c r="R31">
        <f>R29+R30</f>
        <v>156</v>
      </c>
    </row>
    <row r="32" spans="2:18" ht="56.25" customHeight="1" x14ac:dyDescent="0.25">
      <c r="B32" s="134">
        <f>B30/B31</f>
        <v>0.11812964684843572</v>
      </c>
      <c r="C32" s="135">
        <f>C30/C31</f>
        <v>0.17811839994079529</v>
      </c>
      <c r="D32" s="135">
        <f>D30/D31</f>
        <v>0.29240100565399502</v>
      </c>
      <c r="E32" s="136">
        <f>E30/E31</f>
        <v>0.29492383790929327</v>
      </c>
      <c r="G32" s="301" t="s">
        <v>183</v>
      </c>
      <c r="H32" s="301"/>
      <c r="I32" s="301"/>
      <c r="J32" s="301"/>
      <c r="K32" s="301"/>
      <c r="L32" s="301"/>
      <c r="M32" s="301"/>
      <c r="N32" s="30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1235.0925291295409</v>
      </c>
      <c r="C37" s="129">
        <f>('LEAP Region'!O11-'LEAP Region'!O6)*1000</f>
        <v>1174.7772446881427</v>
      </c>
      <c r="D37" s="129">
        <f>('LEAP Region'!P11-'LEAP Region'!P6)*1000</f>
        <v>1087.0459218642902</v>
      </c>
      <c r="E37" s="130">
        <f>('LEAP Region'!Q11-'LEAP Region'!Q6)*1000</f>
        <v>965.04455106237151</v>
      </c>
      <c r="G37" s="301" t="s">
        <v>179</v>
      </c>
      <c r="H37" s="301"/>
      <c r="I37" s="301"/>
      <c r="J37" s="301"/>
      <c r="K37" s="301"/>
      <c r="L37" s="301"/>
      <c r="M37" s="301"/>
      <c r="N37" s="301"/>
    </row>
    <row r="38" spans="2:34" ht="56.25" customHeight="1" x14ac:dyDescent="0.25">
      <c r="B38" s="128">
        <f>'LEAP Region'!N6*1000</f>
        <v>1033.5846470185056</v>
      </c>
      <c r="C38" s="129">
        <f>'LEAP Region'!O6*1000</f>
        <v>1099.3831391363947</v>
      </c>
      <c r="D38" s="129">
        <f>'LEAP Region'!P6*1000</f>
        <v>1147.3612063056889</v>
      </c>
      <c r="E38" s="130">
        <f>'LEAP Region'!Q6*1000</f>
        <v>1248.8005483207676</v>
      </c>
      <c r="F38" s="184"/>
      <c r="G38" s="301" t="s">
        <v>97</v>
      </c>
      <c r="H38" s="301"/>
      <c r="I38" s="301"/>
      <c r="J38" s="301"/>
      <c r="K38" s="301"/>
      <c r="L38" s="301"/>
      <c r="M38" s="301"/>
      <c r="N38" s="301"/>
    </row>
    <row r="39" spans="2:34" ht="56.25" customHeight="1" x14ac:dyDescent="0.25">
      <c r="B39" s="128">
        <f>0.005*B38</f>
        <v>5.1679232350925286</v>
      </c>
      <c r="C39" s="129">
        <f>B39-(($B$39-$E$39)/3)</f>
        <v>24.258624628741146</v>
      </c>
      <c r="D39" s="129">
        <f>C39-(($B$39-$E$39)/3)</f>
        <v>43.349326022389761</v>
      </c>
      <c r="E39" s="130">
        <f>0.05*E38</f>
        <v>62.440027416038383</v>
      </c>
      <c r="G39" s="301" t="s">
        <v>195</v>
      </c>
      <c r="H39" s="301"/>
      <c r="I39" s="301"/>
      <c r="J39" s="301"/>
      <c r="K39" s="301"/>
      <c r="L39" s="301"/>
      <c r="M39" s="301"/>
      <c r="N39" s="301"/>
      <c r="V39" s="21"/>
      <c r="W39" s="21"/>
      <c r="X39" s="21"/>
      <c r="Y39" s="21"/>
      <c r="AH39" s="21"/>
    </row>
    <row r="40" spans="2:34" ht="56.25" customHeight="1" x14ac:dyDescent="0.25">
      <c r="B40" s="142">
        <f>B39*(2.4-1)</f>
        <v>7.2350925291295392</v>
      </c>
      <c r="C40" s="143">
        <f>C39*(2.6-1)</f>
        <v>38.813799405985833</v>
      </c>
      <c r="D40" s="143">
        <f>D39*(2.8-1)</f>
        <v>78.028786840301564</v>
      </c>
      <c r="E40" s="144">
        <f>E39*(3-1)</f>
        <v>124.88005483207677</v>
      </c>
      <c r="G40" s="301" t="s">
        <v>196</v>
      </c>
      <c r="H40" s="301"/>
      <c r="I40" s="301"/>
      <c r="J40" s="301"/>
      <c r="K40" s="301"/>
      <c r="L40" s="301"/>
      <c r="M40" s="301"/>
      <c r="N40" s="301"/>
      <c r="V40" s="21"/>
      <c r="W40" s="21"/>
      <c r="X40" s="21"/>
      <c r="Y40" s="21"/>
      <c r="AH40" s="21"/>
    </row>
    <row r="41" spans="2:34" ht="56.25" customHeight="1" x14ac:dyDescent="0.25">
      <c r="B41" s="128">
        <f>('LEAP Region'!T11-'LEAP Region'!T6)*1000</f>
        <v>1230.9801233721723</v>
      </c>
      <c r="C41" s="129">
        <f>('LEAP Region'!U11-'LEAP Region'!U6)*1000</f>
        <v>1144.6196024674434</v>
      </c>
      <c r="D41" s="129">
        <f>('LEAP Region'!V11-'LEAP Region'!V6)*1000</f>
        <v>1029.4722412611379</v>
      </c>
      <c r="E41" s="130">
        <f>('LEAP Region'!W11-'LEAP Region'!W6)*1000</f>
        <v>863.60520904729253</v>
      </c>
      <c r="G41" s="301" t="s">
        <v>197</v>
      </c>
      <c r="H41" s="301"/>
      <c r="I41" s="301"/>
      <c r="J41" s="301"/>
      <c r="K41" s="301"/>
      <c r="L41" s="301"/>
      <c r="M41" s="301"/>
      <c r="N41" s="301"/>
      <c r="AH41" s="21"/>
    </row>
    <row r="42" spans="2:34" ht="56.25" customHeight="1" x14ac:dyDescent="0.25">
      <c r="B42" s="128">
        <f>'LEAP Region'!T6*1000</f>
        <v>1019.8766278272789</v>
      </c>
      <c r="C42" s="129">
        <f>'LEAP Region'!U6*1000</f>
        <v>1010.28101439342</v>
      </c>
      <c r="D42" s="129">
        <f>'LEAP Region'!V6*1000</f>
        <v>978.75257025359826</v>
      </c>
      <c r="E42" s="130">
        <f>'LEAP Region'!W6*1000</f>
        <v>948.59492803289913</v>
      </c>
      <c r="G42" s="301" t="s">
        <v>98</v>
      </c>
      <c r="H42" s="301"/>
      <c r="I42" s="301"/>
      <c r="J42" s="301"/>
      <c r="K42" s="301"/>
      <c r="L42" s="301"/>
      <c r="M42" s="301"/>
      <c r="N42" s="301"/>
      <c r="V42" s="29"/>
      <c r="W42" s="29"/>
      <c r="X42" s="29"/>
      <c r="Y42" s="29"/>
      <c r="AH42" s="21"/>
    </row>
    <row r="43" spans="2:34" ht="56.25" customHeight="1" x14ac:dyDescent="0.25">
      <c r="B43" s="128">
        <f>B39</f>
        <v>5.1679232350925286</v>
      </c>
      <c r="C43" s="129">
        <f>B43-(($B$43-$E$43)/3)</f>
        <v>29.112786535678936</v>
      </c>
      <c r="D43" s="129">
        <f>C43-(($B$43-$E$43)/3)</f>
        <v>53.057649836265341</v>
      </c>
      <c r="E43" s="130">
        <f>0.8*((E37+E39+E40-E41)/3)</f>
        <v>77.002513136851761</v>
      </c>
      <c r="G43" s="301" t="s">
        <v>142</v>
      </c>
      <c r="H43" s="301"/>
      <c r="I43" s="301"/>
      <c r="J43" s="301"/>
      <c r="K43" s="301"/>
      <c r="L43" s="301"/>
      <c r="M43" s="301"/>
      <c r="N43" s="301"/>
      <c r="AH43" s="21"/>
    </row>
    <row r="44" spans="2:34" ht="56.25" customHeight="1" x14ac:dyDescent="0.25">
      <c r="B44" s="128">
        <f>B43*(2.4-1)</f>
        <v>7.2350925291295392</v>
      </c>
      <c r="C44" s="129">
        <f>C43*(2.6-1)</f>
        <v>46.580458457086301</v>
      </c>
      <c r="D44" s="129">
        <f>D43*(2.8-1)</f>
        <v>95.503769705277605</v>
      </c>
      <c r="E44" s="130">
        <f>E43*(3-1)</f>
        <v>154.00502627370352</v>
      </c>
      <c r="F44" s="21"/>
      <c r="G44" s="301" t="s">
        <v>96</v>
      </c>
      <c r="H44" s="301"/>
      <c r="I44" s="301"/>
      <c r="J44" s="301"/>
      <c r="K44" s="301"/>
      <c r="L44" s="301"/>
      <c r="M44" s="301"/>
      <c r="N44" s="301"/>
      <c r="R44">
        <v>33</v>
      </c>
      <c r="V44" s="21"/>
      <c r="W44" s="21"/>
      <c r="X44" s="21"/>
      <c r="Y44" s="21"/>
      <c r="AH44" s="21"/>
    </row>
    <row r="45" spans="2:34" ht="56.25" customHeight="1" x14ac:dyDescent="0.25">
      <c r="B45" s="128">
        <f>B37+B39+B40-B41-B43-B44</f>
        <v>4.1124057573686565</v>
      </c>
      <c r="C45" s="129">
        <f>C37+C39+C40-C41-C43-C44</f>
        <v>17.536821262661199</v>
      </c>
      <c r="D45" s="129">
        <f>D37+D39+D40-D41-D43-D44</f>
        <v>30.390373924300647</v>
      </c>
      <c r="E45" s="130">
        <f>E37+E39+E40-E41-E43-E44</f>
        <v>57.751884852638824</v>
      </c>
      <c r="F45" s="92"/>
      <c r="G45" s="301" t="s">
        <v>149</v>
      </c>
      <c r="H45" s="301"/>
      <c r="I45" s="301"/>
      <c r="J45" s="301"/>
      <c r="K45" s="301"/>
      <c r="L45" s="301"/>
      <c r="M45" s="301"/>
      <c r="N45" s="301"/>
      <c r="R45">
        <v>6</v>
      </c>
      <c r="AH45" s="21"/>
    </row>
    <row r="46" spans="2:34" ht="56.25" customHeight="1" x14ac:dyDescent="0.25">
      <c r="B46" s="283">
        <f ca="1">0.2*'1.Current Heat'!B24</f>
        <v>106.29660148265555</v>
      </c>
      <c r="C46" s="284"/>
      <c r="D46" s="284"/>
      <c r="E46" s="285"/>
      <c r="G46" s="301" t="s">
        <v>127</v>
      </c>
      <c r="H46" s="301"/>
      <c r="I46" s="301"/>
      <c r="J46" s="301"/>
      <c r="K46" s="301"/>
      <c r="L46" s="301"/>
      <c r="M46" s="301"/>
      <c r="N46" s="301"/>
      <c r="R46">
        <f>R45/R44</f>
        <v>0.18181818181818182</v>
      </c>
      <c r="AH46" s="21"/>
    </row>
    <row r="47" spans="2:34" ht="56.25" customHeight="1" x14ac:dyDescent="0.25">
      <c r="B47" s="128">
        <f ca="1">B45/$B$46</f>
        <v>3.8688026710239451E-2</v>
      </c>
      <c r="C47" s="129">
        <f ca="1">C45/$B$46</f>
        <v>0.1649800747912217</v>
      </c>
      <c r="D47" s="129">
        <f ca="1">D45/$B$46</f>
        <v>0.28590165160886594</v>
      </c>
      <c r="E47" s="130">
        <f ca="1">E45/$B$46</f>
        <v>0.54330885510071758</v>
      </c>
      <c r="G47" s="301" t="s">
        <v>128</v>
      </c>
      <c r="H47" s="301"/>
      <c r="I47" s="301"/>
      <c r="J47" s="301"/>
      <c r="K47" s="301"/>
      <c r="L47" s="301"/>
      <c r="M47" s="301"/>
      <c r="N47" s="301"/>
    </row>
    <row r="48" spans="2:34" ht="56.25" customHeight="1" x14ac:dyDescent="0.25">
      <c r="B48" s="131">
        <f ca="1">'1.Current Heat'!B22</f>
        <v>2</v>
      </c>
      <c r="C48" s="132">
        <f t="shared" ref="C48:E48" ca="1" si="1">B48*1.06</f>
        <v>2.12</v>
      </c>
      <c r="D48" s="132">
        <f t="shared" ca="1" si="1"/>
        <v>2.2472000000000003</v>
      </c>
      <c r="E48" s="133">
        <f t="shared" ca="1" si="1"/>
        <v>2.3820320000000006</v>
      </c>
      <c r="G48" s="301" t="s">
        <v>194</v>
      </c>
      <c r="H48" s="301"/>
      <c r="I48" s="301"/>
      <c r="J48" s="301"/>
      <c r="K48" s="301"/>
      <c r="L48" s="301"/>
      <c r="M48" s="301"/>
      <c r="N48" s="301"/>
      <c r="O48" s="186">
        <f ca="1">(E48/B48)^(1/(E36-B36))-1</f>
        <v>5.006971033976404E-3</v>
      </c>
    </row>
    <row r="49" spans="1:14" ht="56.25" customHeight="1" x14ac:dyDescent="0.25">
      <c r="B49" s="134">
        <f ca="1">B47/B48</f>
        <v>1.9344013355119725E-2</v>
      </c>
      <c r="C49" s="135">
        <f ca="1">C47/C48</f>
        <v>7.7820789995859285E-2</v>
      </c>
      <c r="D49" s="135">
        <f ca="1">D47/D48</f>
        <v>0.12722572606304108</v>
      </c>
      <c r="E49" s="136">
        <f ca="1">E47/E48</f>
        <v>0.22808629569238256</v>
      </c>
      <c r="G49" s="301" t="s">
        <v>182</v>
      </c>
      <c r="H49" s="301"/>
      <c r="I49" s="301"/>
      <c r="J49" s="301"/>
      <c r="K49" s="301"/>
      <c r="L49" s="301"/>
      <c r="M49" s="301"/>
      <c r="N49" s="30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121.09</v>
      </c>
      <c r="C54" s="147">
        <f>C32*($B$54-$B$29)+(1-C32)*$B$54</f>
        <v>115.69791073779227</v>
      </c>
      <c r="D54" s="147">
        <f>D32*($B$54-$B$29)+(1-D32)*$B$54</f>
        <v>112.23829055633944</v>
      </c>
      <c r="E54" s="148">
        <f>E32*($B$54-$B$29)+(1-E32)*$B$54</f>
        <v>112.16191811689092</v>
      </c>
      <c r="F54" s="1"/>
      <c r="G54" s="301" t="s">
        <v>109</v>
      </c>
      <c r="H54" s="301"/>
      <c r="I54" s="301"/>
      <c r="J54" s="301"/>
      <c r="K54" s="301"/>
      <c r="L54" s="301"/>
      <c r="M54" s="301"/>
      <c r="N54" s="301"/>
    </row>
    <row r="55" spans="1:14" ht="56.25" customHeight="1" x14ac:dyDescent="0.25">
      <c r="B55" s="149">
        <f>('LEAP Region'!H4+'LEAP Region'!H9+'LEAP Region'!H12)*1000</f>
        <v>5866.604651162791</v>
      </c>
      <c r="C55" s="150">
        <f>('LEAP Region'!I4+'LEAP Region'!I9+'LEAP Region'!I12)*1000</f>
        <v>4258.7441860465115</v>
      </c>
      <c r="D55" s="150">
        <f>('LEAP Region'!J4+'LEAP Region'!J9+'LEAP Region'!J12)*1000</f>
        <v>2708.651162790698</v>
      </c>
      <c r="E55" s="151">
        <f>('LEAP Region'!K4+'LEAP Region'!K9+'LEAP Region'!K12)*1000</f>
        <v>407.58139534883719</v>
      </c>
      <c r="G55" s="301" t="s">
        <v>110</v>
      </c>
      <c r="H55" s="301"/>
      <c r="I55" s="301"/>
      <c r="J55" s="301"/>
      <c r="K55" s="301"/>
      <c r="L55" s="301"/>
      <c r="M55" s="301"/>
      <c r="N55" s="301"/>
    </row>
    <row r="56" spans="1:14" ht="56.25" customHeight="1" x14ac:dyDescent="0.25">
      <c r="B56" s="152">
        <f>'LEAP Region'!H4*1000/'2.Heat Targets'!B55</f>
        <v>7.658643326039387E-3</v>
      </c>
      <c r="C56" s="153">
        <f>'LEAP Region'!I4*1000/'2.Heat Targets'!C55</f>
        <v>3.7678975131876409E-2</v>
      </c>
      <c r="D56" s="153">
        <f>'LEAP Region'!J4*1000/'2.Heat Targets'!D55</f>
        <v>9.7156398104265379E-2</v>
      </c>
      <c r="E56" s="154">
        <f>'LEAP Region'!K4*1000/'2.Heat Targets'!E55</f>
        <v>1</v>
      </c>
      <c r="G56" s="301" t="s">
        <v>137</v>
      </c>
      <c r="H56" s="301"/>
      <c r="I56" s="301"/>
      <c r="J56" s="301"/>
      <c r="K56" s="301"/>
      <c r="L56" s="301"/>
      <c r="M56" s="301"/>
      <c r="N56" s="301"/>
    </row>
    <row r="57" spans="1:14" ht="56.25" customHeight="1" x14ac:dyDescent="0.25">
      <c r="B57" s="128">
        <f>B55/B54</f>
        <v>48.44830003437766</v>
      </c>
      <c r="C57" s="129">
        <f>C55/C54</f>
        <v>36.80917104629625</v>
      </c>
      <c r="D57" s="129">
        <f>D55/D54</f>
        <v>24.133040064709967</v>
      </c>
      <c r="E57" s="130">
        <f>E55/E54</f>
        <v>3.6338661302499413</v>
      </c>
      <c r="G57" s="301" t="s">
        <v>111</v>
      </c>
      <c r="H57" s="301"/>
      <c r="I57" s="301"/>
      <c r="J57" s="301"/>
      <c r="K57" s="301"/>
      <c r="L57" s="301"/>
      <c r="M57" s="301"/>
      <c r="N57" s="301"/>
    </row>
    <row r="58" spans="1:14" ht="56.25" customHeight="1" x14ac:dyDescent="0.25">
      <c r="B58" s="134">
        <f>B57/B31</f>
        <v>0.46141238127978723</v>
      </c>
      <c r="C58" s="135">
        <f>C57/C31</f>
        <v>0.33072031488136788</v>
      </c>
      <c r="D58" s="135">
        <f>D57/D31</f>
        <v>0.20455542613631322</v>
      </c>
      <c r="E58" s="136">
        <f>E57/E31</f>
        <v>2.9057753094436381E-2</v>
      </c>
      <c r="G58" s="301" t="s">
        <v>130</v>
      </c>
      <c r="H58" s="301"/>
      <c r="I58" s="301"/>
      <c r="J58" s="301"/>
      <c r="K58" s="301"/>
      <c r="L58" s="301"/>
      <c r="M58" s="301"/>
      <c r="N58" s="301"/>
    </row>
    <row r="59" spans="1:14" ht="56.25" customHeight="1" x14ac:dyDescent="0.25">
      <c r="B59" s="149">
        <f>('LEAP Region'!H5+'LEAP Region'!H13)*1000</f>
        <v>6980.2325581395353</v>
      </c>
      <c r="C59" s="150">
        <f>('LEAP Region'!I5+'LEAP Region'!I13)*1000</f>
        <v>5850.5581395348836</v>
      </c>
      <c r="D59" s="150">
        <f>('LEAP Region'!J5+'LEAP Region'!J13)*1000</f>
        <v>4637.4418604651164</v>
      </c>
      <c r="E59" s="151">
        <f>('LEAP Region'!K5+'LEAP Region'!K13)*1000</f>
        <v>3356.9302325581402</v>
      </c>
      <c r="G59" s="301" t="s">
        <v>112</v>
      </c>
      <c r="H59" s="301"/>
      <c r="I59" s="301"/>
      <c r="J59" s="301"/>
      <c r="K59" s="301"/>
      <c r="L59" s="301"/>
      <c r="M59" s="301"/>
      <c r="N59" s="301"/>
    </row>
    <row r="60" spans="1:14" ht="56.25" customHeight="1" x14ac:dyDescent="0.25">
      <c r="A60" s="2"/>
      <c r="B60" s="128">
        <f>B59/B54</f>
        <v>57.644995938058756</v>
      </c>
      <c r="C60" s="129">
        <f>C59/C54</f>
        <v>50.567534903841803</v>
      </c>
      <c r="D60" s="129">
        <f>D59/D54</f>
        <v>41.317823333537795</v>
      </c>
      <c r="E60" s="130">
        <f>E59/E54</f>
        <v>29.929322616074327</v>
      </c>
      <c r="G60" s="301" t="s">
        <v>140</v>
      </c>
      <c r="H60" s="301"/>
      <c r="I60" s="301"/>
      <c r="J60" s="301"/>
      <c r="K60" s="301"/>
      <c r="L60" s="301"/>
      <c r="M60" s="301"/>
      <c r="N60" s="301"/>
    </row>
    <row r="61" spans="1:14" ht="56.25" customHeight="1" x14ac:dyDescent="0.25">
      <c r="B61" s="134">
        <f>B60/B31</f>
        <v>0.5489999613148453</v>
      </c>
      <c r="C61" s="135">
        <f>C60/C31</f>
        <v>0.45433544387998021</v>
      </c>
      <c r="D61" s="135">
        <f>D60/D31</f>
        <v>0.35021633977129452</v>
      </c>
      <c r="E61" s="136">
        <f>E60/E31</f>
        <v>0.23932606091953121</v>
      </c>
      <c r="G61" s="301" t="s">
        <v>131</v>
      </c>
      <c r="H61" s="301"/>
      <c r="I61" s="301"/>
      <c r="J61" s="301"/>
      <c r="K61" s="301"/>
      <c r="L61" s="301"/>
      <c r="M61" s="301"/>
      <c r="N61" s="301"/>
    </row>
    <row r="62" spans="1:14" ht="56.25" customHeight="1" x14ac:dyDescent="0.25">
      <c r="B62" s="149">
        <f>('LEAP Region'!H7+'LEAP Region'!H8)*1000</f>
        <v>125.16279069767441</v>
      </c>
      <c r="C62" s="150">
        <f>('LEAP Region'!I7+'LEAP Region'!I8)*1000</f>
        <v>500.65116279069764</v>
      </c>
      <c r="D62" s="150">
        <f>('LEAP Region'!J7+'LEAP Region'!J8)*1000</f>
        <v>1010.9302325581396</v>
      </c>
      <c r="E62" s="151">
        <f>('LEAP Region'!K7+'LEAP Region'!K8)*1000</f>
        <v>1270.8837209302326</v>
      </c>
      <c r="G62" s="301" t="s">
        <v>113</v>
      </c>
      <c r="H62" s="301"/>
      <c r="I62" s="301"/>
      <c r="J62" s="301"/>
      <c r="K62" s="301"/>
      <c r="L62" s="301"/>
      <c r="M62" s="301"/>
      <c r="N62" s="301"/>
    </row>
    <row r="63" spans="1:14" ht="56.25" customHeight="1" x14ac:dyDescent="0.25">
      <c r="B63" s="128">
        <f>B62/((0.7*B54)/2.4)</f>
        <v>3.5438894054530707</v>
      </c>
      <c r="C63" s="129">
        <f>C62/((0.75*C54)/2.6)</f>
        <v>15.001054786614175</v>
      </c>
      <c r="D63" s="129">
        <f>D62/((0.8*D54)/2.8)</f>
        <v>31.524498425761532</v>
      </c>
      <c r="E63" s="130">
        <f>E62/((0.85*E54)/3)</f>
        <v>39.991041803954893</v>
      </c>
      <c r="F63" s="91"/>
      <c r="G63" s="301" t="s">
        <v>180</v>
      </c>
      <c r="H63" s="301"/>
      <c r="I63" s="301"/>
      <c r="J63" s="301"/>
      <c r="K63" s="301"/>
      <c r="L63" s="301"/>
      <c r="M63" s="301"/>
      <c r="N63" s="301"/>
    </row>
    <row r="64" spans="1:14" ht="56.25" customHeight="1" x14ac:dyDescent="0.25">
      <c r="B64" s="134">
        <f>B63/B31</f>
        <v>3.3751327670981629E-2</v>
      </c>
      <c r="C64" s="135">
        <f>C63/C31</f>
        <v>0.13478036645655142</v>
      </c>
      <c r="D64" s="135">
        <f>D63/D31</f>
        <v>0.26720658449678353</v>
      </c>
      <c r="E64" s="136">
        <f>E63/E31</f>
        <v>0.31978333187763247</v>
      </c>
      <c r="G64" s="301" t="s">
        <v>114</v>
      </c>
      <c r="H64" s="301"/>
      <c r="I64" s="301"/>
      <c r="J64" s="301"/>
      <c r="K64" s="301"/>
      <c r="L64" s="301"/>
      <c r="M64" s="301"/>
      <c r="N64" s="301"/>
    </row>
    <row r="65" spans="1:20" ht="56.25" customHeight="1" x14ac:dyDescent="0.25">
      <c r="B65" s="149">
        <f>('LEAP Region'!H10+'LEAP Region'!H11)*1000</f>
        <v>2268.9767441860463</v>
      </c>
      <c r="C65" s="150">
        <f>('LEAP Region'!I10+'LEAP Region'!I11)*1000</f>
        <v>1774.7441860465117</v>
      </c>
      <c r="D65" s="150">
        <f>('LEAP Region'!J10+'LEAP Region'!J11)*1000</f>
        <v>1136.0930232558139</v>
      </c>
      <c r="E65" s="151">
        <f>('LEAP Region'!K10+'LEAP Region'!K11)*1000</f>
        <v>397.95348837209303</v>
      </c>
      <c r="G65" s="301" t="s">
        <v>115</v>
      </c>
      <c r="H65" s="301"/>
      <c r="I65" s="301"/>
      <c r="J65" s="301"/>
      <c r="K65" s="301"/>
      <c r="L65" s="301"/>
      <c r="M65" s="301"/>
      <c r="N65" s="301"/>
    </row>
    <row r="66" spans="1:20" ht="56.25" customHeight="1" x14ac:dyDescent="0.25">
      <c r="B66" s="128">
        <f>B65/B54</f>
        <v>18.737936610670133</v>
      </c>
      <c r="C66" s="129">
        <f>C65/C54</f>
        <v>15.339466155690904</v>
      </c>
      <c r="D66" s="129">
        <f>D65/D54</f>
        <v>10.122151875482615</v>
      </c>
      <c r="E66" s="130">
        <f>E65/E54</f>
        <v>3.5480267728424626</v>
      </c>
      <c r="G66" s="301" t="s">
        <v>146</v>
      </c>
      <c r="H66" s="301"/>
      <c r="I66" s="301"/>
      <c r="J66" s="301"/>
      <c r="K66" s="301"/>
      <c r="L66" s="301"/>
      <c r="M66" s="301"/>
      <c r="N66" s="301"/>
    </row>
    <row r="67" spans="1:20" ht="56.25" customHeight="1" x14ac:dyDescent="0.25">
      <c r="A67" s="21"/>
      <c r="B67" s="134">
        <f>B66/B31</f>
        <v>0.17845653914923937</v>
      </c>
      <c r="C67" s="135">
        <f>C66/C31</f>
        <v>0.13782089987143667</v>
      </c>
      <c r="D67" s="135">
        <f>D66/D31</f>
        <v>8.5796944137742734E-2</v>
      </c>
      <c r="E67" s="136">
        <f>E66/E31</f>
        <v>2.8371349478032375E-2</v>
      </c>
      <c r="G67" s="301" t="s">
        <v>116</v>
      </c>
      <c r="H67" s="301"/>
      <c r="I67" s="301"/>
      <c r="J67" s="301"/>
      <c r="K67" s="301"/>
      <c r="L67" s="301"/>
      <c r="M67" s="301"/>
      <c r="N67" s="30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531.48300741327773</v>
      </c>
      <c r="C72" s="156">
        <f ca="1">C49*($B$72-$B$46)+(1-C49)*$B$72</f>
        <v>523.2109219120224</v>
      </c>
      <c r="D72" s="156">
        <f ca="1">D49*($B$72-$B$46)+(1-D49)*$B$72</f>
        <v>517.95934511161317</v>
      </c>
      <c r="E72" s="157">
        <f ca="1">E49*($B$72-$B$46)+(1-E49)*$B$72</f>
        <v>507.2382093364094</v>
      </c>
      <c r="G72" s="302" t="s">
        <v>134</v>
      </c>
      <c r="H72" s="302"/>
      <c r="I72" s="302"/>
      <c r="J72" s="302"/>
      <c r="K72" s="302"/>
      <c r="L72" s="302"/>
      <c r="M72" s="302"/>
      <c r="N72" s="302"/>
    </row>
    <row r="73" spans="1:20" ht="56.25" customHeight="1" x14ac:dyDescent="0.25">
      <c r="B73" s="149">
        <f>('LEAP Region'!T4+'LEAP Region'!T5+'LEAP Region'!T9)*1000</f>
        <v>627.8272789581905</v>
      </c>
      <c r="C73" s="150">
        <f>('LEAP Region'!U4+'LEAP Region'!U5+'LEAP Region'!U9)*1000</f>
        <v>526.38793694311175</v>
      </c>
      <c r="D73" s="150">
        <f>('LEAP Region'!V4+'LEAP Region'!V5+'LEAP Region'!V9)*1000</f>
        <v>408.49897189856068</v>
      </c>
      <c r="E73" s="151">
        <f>('LEAP Region'!W4+'LEAP Region'!W5+'LEAP Region'!W9)*1000</f>
        <v>226.18231665524331</v>
      </c>
      <c r="G73" s="301" t="s">
        <v>133</v>
      </c>
      <c r="H73" s="301"/>
      <c r="I73" s="301"/>
      <c r="J73" s="301"/>
      <c r="K73" s="301"/>
      <c r="L73" s="301"/>
      <c r="M73" s="301"/>
      <c r="N73" s="301"/>
    </row>
    <row r="74" spans="1:20" ht="56.25" customHeight="1" x14ac:dyDescent="0.25">
      <c r="B74" s="158">
        <f ca="1">com_share_state_target*'LEAP Statewide'!T4*1000/'2.Heat Targets'!B73</f>
        <v>4.9920131666846895E-3</v>
      </c>
      <c r="C74" s="145">
        <f ca="1">com_share_state_target*'LEAP Statewide'!U4*1000/'2.Heat Targets'!C73</f>
        <v>3.7227049644518159E-2</v>
      </c>
      <c r="D74" s="145">
        <f ca="1">com_share_state_target*'LEAP Statewide'!V4*1000/'2.Heat Targets'!D73</f>
        <v>9.0000415656487365E-2</v>
      </c>
      <c r="E74" s="159">
        <f ca="1">com_share_state_target*'LEAP Statewide'!W4*1000/'2.Heat Targets'!E73</f>
        <v>0.28903829668660785</v>
      </c>
      <c r="G74" s="301" t="s">
        <v>136</v>
      </c>
      <c r="H74" s="301"/>
      <c r="I74" s="301"/>
      <c r="J74" s="301"/>
      <c r="K74" s="301"/>
      <c r="L74" s="301"/>
      <c r="M74" s="301"/>
      <c r="N74" s="301"/>
    </row>
    <row r="75" spans="1:20" ht="56.25" customHeight="1" x14ac:dyDescent="0.25">
      <c r="B75" s="128">
        <f ca="1">B73/B72</f>
        <v>1.1812744155524733</v>
      </c>
      <c r="C75" s="129">
        <f ca="1">C73/C72</f>
        <v>1.0060721496781437</v>
      </c>
      <c r="D75" s="129">
        <f ca="1">D73/D72</f>
        <v>0.7886699520992998</v>
      </c>
      <c r="E75" s="130">
        <f ca="1">E73/E72</f>
        <v>0.44590946125912839</v>
      </c>
      <c r="G75" s="301" t="s">
        <v>135</v>
      </c>
      <c r="H75" s="301"/>
      <c r="I75" s="301"/>
      <c r="J75" s="301"/>
      <c r="K75" s="301"/>
      <c r="L75" s="301"/>
      <c r="M75" s="301"/>
      <c r="N75" s="301"/>
    </row>
    <row r="76" spans="1:20" ht="56.25" customHeight="1" x14ac:dyDescent="0.25">
      <c r="B76" s="134">
        <f ca="1">B75/B48</f>
        <v>0.59063720777623663</v>
      </c>
      <c r="C76" s="135">
        <f ca="1">C75/C48</f>
        <v>0.47456233475384135</v>
      </c>
      <c r="D76" s="135">
        <f ca="1">D75/D48</f>
        <v>0.35095672485728896</v>
      </c>
      <c r="E76" s="136">
        <f ca="1">E75/E48</f>
        <v>0.18719709107985463</v>
      </c>
      <c r="G76" s="301" t="s">
        <v>181</v>
      </c>
      <c r="H76" s="301"/>
      <c r="I76" s="301"/>
      <c r="J76" s="301"/>
      <c r="K76" s="301"/>
      <c r="L76" s="301"/>
      <c r="M76" s="301"/>
      <c r="N76" s="301"/>
    </row>
    <row r="77" spans="1:20" ht="56.25" customHeight="1" x14ac:dyDescent="0.25">
      <c r="B77" s="128">
        <f>'LEAP Region'!T10*1000</f>
        <v>193.28307059629881</v>
      </c>
      <c r="C77" s="129">
        <f>'LEAP Region'!U10*1000</f>
        <v>264.56477039067858</v>
      </c>
      <c r="D77" s="129">
        <f>'LEAP Region'!V10*1000</f>
        <v>334.47566826593555</v>
      </c>
      <c r="E77" s="130">
        <f>'LEAP Region'!W10*1000</f>
        <v>455.10623714873196</v>
      </c>
      <c r="G77" s="301" t="s">
        <v>138</v>
      </c>
      <c r="H77" s="301"/>
      <c r="I77" s="301"/>
      <c r="J77" s="301"/>
      <c r="K77" s="301"/>
      <c r="L77" s="301"/>
      <c r="M77" s="301"/>
      <c r="N77" s="301"/>
    </row>
    <row r="78" spans="1:20" ht="56.25" customHeight="1" x14ac:dyDescent="0.25">
      <c r="B78" s="128">
        <f ca="1">B77/B72</f>
        <v>0.36366745107619808</v>
      </c>
      <c r="C78" s="129">
        <f ca="1">C77/C72</f>
        <v>0.50565605439552541</v>
      </c>
      <c r="D78" s="129">
        <f ca="1">D77/D72</f>
        <v>0.64575660507459443</v>
      </c>
      <c r="E78" s="130">
        <f ca="1">E77/E72</f>
        <v>0.89722388568503408</v>
      </c>
      <c r="G78" s="301" t="s">
        <v>139</v>
      </c>
      <c r="H78" s="301"/>
      <c r="I78" s="301"/>
      <c r="J78" s="301"/>
      <c r="K78" s="301"/>
      <c r="L78" s="301"/>
      <c r="M78" s="301"/>
      <c r="N78" s="301"/>
    </row>
    <row r="79" spans="1:20" ht="56.25" customHeight="1" x14ac:dyDescent="0.25">
      <c r="B79" s="134">
        <f ca="1">B78/B48</f>
        <v>0.18183372553809904</v>
      </c>
      <c r="C79" s="135">
        <f ca="1">C78/C48</f>
        <v>0.23851700679034216</v>
      </c>
      <c r="D79" s="135">
        <f ca="1">D78/D48</f>
        <v>0.28736053981603521</v>
      </c>
      <c r="E79" s="136">
        <f ca="1">E78/E48</f>
        <v>0.37666323780916205</v>
      </c>
      <c r="G79" s="301" t="s">
        <v>141</v>
      </c>
      <c r="H79" s="301"/>
      <c r="I79" s="301"/>
      <c r="J79" s="301"/>
      <c r="K79" s="301"/>
      <c r="L79" s="301"/>
      <c r="M79" s="301"/>
      <c r="N79" s="301"/>
    </row>
    <row r="80" spans="1:20" ht="56.25" customHeight="1" x14ac:dyDescent="0.25">
      <c r="B80" s="149">
        <f>B43</f>
        <v>5.1679232350925286</v>
      </c>
      <c r="C80" s="150">
        <f>C43</f>
        <v>29.112786535678936</v>
      </c>
      <c r="D80" s="150">
        <f>D43</f>
        <v>53.057649836265341</v>
      </c>
      <c r="E80" s="151">
        <f>E43</f>
        <v>77.002513136851761</v>
      </c>
      <c r="G80" s="301" t="s">
        <v>142</v>
      </c>
      <c r="H80" s="301"/>
      <c r="I80" s="301"/>
      <c r="J80" s="301"/>
      <c r="K80" s="301"/>
      <c r="L80" s="301"/>
      <c r="M80" s="301"/>
      <c r="N80" s="301"/>
    </row>
    <row r="81" spans="2:14" ht="56.25" customHeight="1" x14ac:dyDescent="0.25">
      <c r="B81" s="128">
        <f ca="1">B80/((0.7*B72)/2.4)</f>
        <v>3.3338025302304362E-2</v>
      </c>
      <c r="C81" s="129">
        <f ca="1">C80/((0.75*C72)/2.6)</f>
        <v>0.19289415115457142</v>
      </c>
      <c r="D81" s="129">
        <f ca="1">D80/((0.8*D72)/2.8)</f>
        <v>0.35852577268764685</v>
      </c>
      <c r="E81" s="130">
        <f ca="1">E80/((0.85*E72)/3)</f>
        <v>0.53579081933253736</v>
      </c>
      <c r="G81" s="301" t="s">
        <v>143</v>
      </c>
      <c r="H81" s="301"/>
      <c r="I81" s="301"/>
      <c r="J81" s="301"/>
      <c r="K81" s="301"/>
      <c r="L81" s="301"/>
      <c r="M81" s="301"/>
      <c r="N81" s="301"/>
    </row>
    <row r="82" spans="2:14" ht="56.25" customHeight="1" x14ac:dyDescent="0.25">
      <c r="B82" s="134">
        <f ca="1">B81/B48</f>
        <v>1.6669012651152181E-2</v>
      </c>
      <c r="C82" s="135">
        <f ca="1">C81/C48</f>
        <v>9.0987807148382741E-2</v>
      </c>
      <c r="D82" s="135">
        <f ca="1">D81/D48</f>
        <v>0.15954333067268014</v>
      </c>
      <c r="E82" s="136">
        <f ca="1">E81/E48</f>
        <v>0.22493015179163722</v>
      </c>
      <c r="G82" s="301" t="s">
        <v>144</v>
      </c>
      <c r="H82" s="301"/>
      <c r="I82" s="301"/>
      <c r="J82" s="301"/>
      <c r="K82" s="301"/>
      <c r="L82" s="301"/>
      <c r="M82" s="301"/>
      <c r="N82" s="301"/>
    </row>
    <row r="83" spans="2:14" ht="56.25" customHeight="1" x14ac:dyDescent="0.25">
      <c r="B83" s="149">
        <f>('LEAP Region'!T7+'LEAP Region'!T8)*1000</f>
        <v>409.86977381768332</v>
      </c>
      <c r="C83" s="150">
        <f>('LEAP Region'!U7+'LEAP Region'!U8)*1000</f>
        <v>353.66689513365316</v>
      </c>
      <c r="D83" s="150">
        <f>('LEAP Region'!V7+'LEAP Region'!V8)*1000</f>
        <v>286.49760109664152</v>
      </c>
      <c r="E83" s="151">
        <f>('LEAP Region'!W7+'LEAP Region'!W8)*1000</f>
        <v>182.31665524331734</v>
      </c>
      <c r="G83" s="301" t="s">
        <v>145</v>
      </c>
      <c r="H83" s="301"/>
      <c r="I83" s="301"/>
      <c r="J83" s="301"/>
      <c r="K83" s="301"/>
      <c r="L83" s="301"/>
      <c r="M83" s="301"/>
      <c r="N83" s="301"/>
    </row>
    <row r="84" spans="2:14" ht="56.25" customHeight="1" x14ac:dyDescent="0.25">
      <c r="B84" s="128">
        <f ca="1">B83/B72</f>
        <v>0.77118133242399456</v>
      </c>
      <c r="C84" s="129">
        <f ca="1">C83/C72</f>
        <v>0.67595472556500269</v>
      </c>
      <c r="D84" s="129">
        <f ca="1">D83/D72</f>
        <v>0.55312758385487804</v>
      </c>
      <c r="E84" s="130">
        <f ca="1">E83/E72</f>
        <v>0.35943005059069139</v>
      </c>
      <c r="G84" s="301" t="s">
        <v>147</v>
      </c>
      <c r="H84" s="301"/>
      <c r="I84" s="301"/>
      <c r="J84" s="301"/>
      <c r="K84" s="301"/>
      <c r="L84" s="301"/>
      <c r="M84" s="301"/>
      <c r="N84" s="301"/>
    </row>
    <row r="85" spans="2:14" ht="56.25" customHeight="1" x14ac:dyDescent="0.25">
      <c r="B85" s="134">
        <f ca="1">B84/B48</f>
        <v>0.38559066621199728</v>
      </c>
      <c r="C85" s="135">
        <f ca="1">C84/C48</f>
        <v>0.31884656866273708</v>
      </c>
      <c r="D85" s="135">
        <f ca="1">D84/D48</f>
        <v>0.24614079025225968</v>
      </c>
      <c r="E85" s="136">
        <f ca="1">E84/E48</f>
        <v>0.15089220068861009</v>
      </c>
      <c r="G85" s="301" t="s">
        <v>148</v>
      </c>
      <c r="H85" s="301"/>
      <c r="I85" s="301"/>
      <c r="J85" s="301"/>
      <c r="K85" s="301"/>
      <c r="L85" s="301"/>
      <c r="M85" s="301"/>
      <c r="N85" s="30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20" zoomScale="70" zoomScaleNormal="70" workbookViewId="0">
      <selection activeCell="C27" sqref="C27:E27"/>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6" t="s">
        <v>504</v>
      </c>
      <c r="C4" s="287"/>
      <c r="D4" s="287"/>
      <c r="E4" s="287"/>
      <c r="F4" s="287"/>
      <c r="G4" s="287"/>
      <c r="H4" s="287"/>
      <c r="I4" s="287"/>
      <c r="J4" s="287"/>
      <c r="K4" s="287"/>
      <c r="L4" s="287"/>
      <c r="M4" s="287"/>
      <c r="N4" s="288"/>
    </row>
    <row r="5" spans="2:15" ht="22.5" customHeight="1" x14ac:dyDescent="0.25">
      <c r="B5" s="289"/>
      <c r="C5" s="290"/>
      <c r="D5" s="290"/>
      <c r="E5" s="290"/>
      <c r="F5" s="290"/>
      <c r="G5" s="290"/>
      <c r="H5" s="290"/>
      <c r="I5" s="290"/>
      <c r="J5" s="290"/>
      <c r="K5" s="290"/>
      <c r="L5" s="290"/>
      <c r="M5" s="290"/>
      <c r="N5" s="291"/>
    </row>
    <row r="6" spans="2:15" ht="22.5" customHeight="1" x14ac:dyDescent="0.25">
      <c r="B6" s="292"/>
      <c r="C6" s="293"/>
      <c r="D6" s="293"/>
      <c r="E6" s="293"/>
      <c r="F6" s="293"/>
      <c r="G6" s="293"/>
      <c r="H6" s="293"/>
      <c r="I6" s="293"/>
      <c r="J6" s="293"/>
      <c r="K6" s="293"/>
      <c r="L6" s="293"/>
      <c r="M6" s="293"/>
      <c r="N6" s="29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5" t="s">
        <v>151</v>
      </c>
      <c r="N11" s="296"/>
      <c r="O11" s="297"/>
    </row>
    <row r="12" spans="2:15" x14ac:dyDescent="0.25">
      <c r="B12" s="1">
        <v>100</v>
      </c>
      <c r="C12" s="2" t="s">
        <v>103</v>
      </c>
      <c r="D12" s="2"/>
      <c r="E12" s="2"/>
      <c r="F12" s="2"/>
      <c r="G12" s="2"/>
      <c r="H12" s="2"/>
      <c r="I12" s="2"/>
      <c r="J12" s="2"/>
      <c r="K12" s="3"/>
      <c r="M12" s="298"/>
      <c r="N12" s="299"/>
      <c r="O12" s="30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9.6279069767441854</v>
      </c>
      <c r="C18" s="129">
        <f>'LEAP Region'!I26*1000</f>
        <v>263.16279069767438</v>
      </c>
      <c r="D18" s="129">
        <f>'LEAP Region'!J26*1000</f>
        <v>763.81395348837214</v>
      </c>
      <c r="E18" s="130">
        <f>'LEAP Region'!K26*1000</f>
        <v>1479.4883720930231</v>
      </c>
      <c r="G18" s="301" t="s">
        <v>474</v>
      </c>
      <c r="H18" s="301"/>
      <c r="I18" s="301"/>
      <c r="J18" s="301"/>
      <c r="K18" s="301"/>
      <c r="L18" s="301"/>
      <c r="M18" s="301"/>
      <c r="N18" s="30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301" t="s">
        <v>190</v>
      </c>
      <c r="H19" s="301"/>
      <c r="I19" s="301"/>
      <c r="J19" s="301"/>
      <c r="K19" s="301"/>
      <c r="L19" s="301"/>
      <c r="M19" s="301"/>
      <c r="N19" s="301"/>
      <c r="V19" t="s">
        <v>547</v>
      </c>
    </row>
    <row r="20" spans="2:22" ht="54.75" customHeight="1" x14ac:dyDescent="0.25">
      <c r="B20" s="128">
        <f>IF($F$22="adj",'1.Current Trans'!$O$13*B18/B19,B18/B19)</f>
        <v>0.67722675100193563</v>
      </c>
      <c r="C20" s="129">
        <f>IF($F$22="adj",'1.Current Trans'!$O$13*C18/C19,C18/C19)</f>
        <v>20.193670393512264</v>
      </c>
      <c r="D20" s="129">
        <f>IF($F$22="adj",'1.Current Trans'!$O$13*D18/D19,D18/D19)</f>
        <v>64.471986695384288</v>
      </c>
      <c r="E20" s="130">
        <f>IF($F$22="adj",'1.Current Trans'!$O$13*E18/E19,E18/E19)</f>
        <v>138.75623653861885</v>
      </c>
      <c r="G20" s="303" t="s">
        <v>106</v>
      </c>
      <c r="H20" s="303"/>
      <c r="I20" s="303"/>
      <c r="J20" s="303"/>
      <c r="K20" s="303"/>
      <c r="L20" s="303"/>
      <c r="M20" s="303"/>
      <c r="N20" s="303"/>
    </row>
    <row r="21" spans="2:22" ht="54.75" customHeight="1" x14ac:dyDescent="0.25">
      <c r="B21" s="131">
        <f>'1.Current Trans'!B9+'1.Current Trans'!B32</f>
        <v>191</v>
      </c>
      <c r="C21" s="132">
        <f t="shared" ref="C21:E21" si="0">B21*1.125</f>
        <v>214.875</v>
      </c>
      <c r="D21" s="132">
        <f t="shared" si="0"/>
        <v>241.734375</v>
      </c>
      <c r="E21" s="133">
        <f t="shared" si="0"/>
        <v>271.951171875</v>
      </c>
      <c r="G21" s="303" t="s">
        <v>189</v>
      </c>
      <c r="H21" s="303"/>
      <c r="I21" s="303"/>
      <c r="J21" s="303"/>
      <c r="K21" s="303"/>
      <c r="L21" s="303"/>
      <c r="M21" s="303"/>
      <c r="N21" s="303"/>
      <c r="O21" s="186">
        <f>(E21/B21)^(1/(E17-B17))-1</f>
        <v>1.014682216717655E-2</v>
      </c>
    </row>
    <row r="22" spans="2:22" ht="54.75" customHeight="1" x14ac:dyDescent="0.25">
      <c r="B22" s="134">
        <f>B20/B21</f>
        <v>3.5456897958216524E-3</v>
      </c>
      <c r="C22" s="135">
        <f>C20/C21</f>
        <v>9.3978687113495121E-2</v>
      </c>
      <c r="D22" s="135">
        <f>D20/D21</f>
        <v>0.26670591096274282</v>
      </c>
      <c r="E22" s="136">
        <f>E20/E21</f>
        <v>0.51022481566064715</v>
      </c>
      <c r="F22" s="54" t="s">
        <v>545</v>
      </c>
      <c r="G22" s="303" t="s">
        <v>191</v>
      </c>
      <c r="H22" s="303"/>
      <c r="I22" s="303"/>
      <c r="J22" s="303"/>
      <c r="K22" s="303"/>
      <c r="L22" s="303"/>
      <c r="M22" s="303"/>
      <c r="N22" s="303"/>
    </row>
    <row r="23" spans="2:22" ht="54.75" customHeight="1" x14ac:dyDescent="0.25">
      <c r="B23" s="166">
        <f>('LEAP Region'!H24+'LEAP Region'!H25+'LEAP Region'!H27+'LEAP Region'!H28)*1000</f>
        <v>10972.604651162792</v>
      </c>
      <c r="C23" s="167">
        <f>('LEAP Region'!I24+'LEAP Region'!I25+'LEAP Region'!I27+'LEAP Region'!I28)*1000</f>
        <v>7872.4186046511632</v>
      </c>
      <c r="D23" s="167">
        <f>('LEAP Region'!J24+'LEAP Region'!J25+'LEAP Region'!J27+'LEAP Region'!J28)*1000</f>
        <v>4496.2325581395353</v>
      </c>
      <c r="E23" s="168">
        <f>('LEAP Region'!K24+'LEAP Region'!K25+'LEAP Region'!K27+'LEAP Region'!K28)*1000</f>
        <v>625.81395348837214</v>
      </c>
      <c r="G23" s="301" t="s">
        <v>470</v>
      </c>
      <c r="H23" s="301"/>
      <c r="I23" s="301"/>
      <c r="J23" s="301"/>
      <c r="K23" s="301"/>
      <c r="L23" s="301"/>
      <c r="M23" s="301"/>
      <c r="N23" s="301"/>
    </row>
    <row r="24" spans="2:22" ht="54.75" customHeight="1" x14ac:dyDescent="0.25">
      <c r="B24" s="158">
        <f>res_share_state_target*('LEAP Statewide'!H25+'LEAP Statewide'!H28)*1000000/'2.Trans Targets'!B23</f>
        <v>0.1204752889114401</v>
      </c>
      <c r="C24" s="145">
        <f>res_share_state_target*('LEAP Statewide'!I25+'LEAP Statewide'!I28)*1000000/'2.Trans Targets'!C23</f>
        <v>0.12593916004531605</v>
      </c>
      <c r="D24" s="145">
        <f>res_share_state_target*('LEAP Statewide'!J25+'LEAP Statewide'!J28)*1000000/'2.Trans Targets'!D23</f>
        <v>0.14700393033126827</v>
      </c>
      <c r="E24" s="159">
        <f>res_share_state_target*('LEAP Statewide'!K25+'LEAP Statewide'!K28)*1000000/'2.Trans Targets'!E23</f>
        <v>0.52808334972847915</v>
      </c>
      <c r="G24" s="301" t="s">
        <v>192</v>
      </c>
      <c r="H24" s="301"/>
      <c r="I24" s="301"/>
      <c r="J24" s="301"/>
      <c r="K24" s="301"/>
      <c r="L24" s="301"/>
      <c r="M24" s="301"/>
      <c r="N24" s="301"/>
    </row>
    <row r="25" spans="2:22" ht="54.75" customHeight="1" x14ac:dyDescent="0.25">
      <c r="B25" s="128">
        <f>'1.Current Trans'!B26/'1.Current Trans'!B9</f>
        <v>75.07126772727274</v>
      </c>
      <c r="C25" s="129">
        <f>B25-(($B$25-$E$25)/3)</f>
        <v>64.194336818181824</v>
      </c>
      <c r="D25" s="129">
        <f>C25-(($B$25-$E$25)/3)</f>
        <v>53.317405909090908</v>
      </c>
      <c r="E25" s="169">
        <f>('1.Current Trans'!B9*'1.Current Trans'!B13/40)*'1.Current Trans'!B21/'1.Current Trans'!B9/1000000</f>
        <v>42.440474999999999</v>
      </c>
      <c r="G25" s="301" t="s">
        <v>193</v>
      </c>
      <c r="H25" s="301"/>
      <c r="I25" s="301"/>
      <c r="J25" s="301"/>
      <c r="K25" s="301"/>
      <c r="L25" s="301"/>
      <c r="M25" s="301"/>
      <c r="N25" s="301"/>
    </row>
    <row r="26" spans="2:22" ht="54.75" customHeight="1" x14ac:dyDescent="0.25">
      <c r="B26" s="128">
        <f>IF($F$22="adj",'1.Current Trans'!$O$13*B23/B25,B23/B25)</f>
        <v>163.70200719066483</v>
      </c>
      <c r="C26" s="129">
        <f>IF($F$22="adj",'1.Current Trans'!$O$13*C23/C25,C23/C25)</f>
        <v>137.35025976173065</v>
      </c>
      <c r="D26" s="129">
        <f>IF($F$22="adj",'1.Current Trans'!$O$13*D23/D25,D23/D25)</f>
        <v>94.449089922014593</v>
      </c>
      <c r="E26" s="130">
        <f>IF($F$22="adj",'1.Current Trans'!$O$13*E23/E25,E23/E25)</f>
        <v>16.515169255456655</v>
      </c>
      <c r="G26" s="303" t="s">
        <v>107</v>
      </c>
      <c r="H26" s="303"/>
      <c r="I26" s="303"/>
      <c r="J26" s="303"/>
      <c r="K26" s="303"/>
      <c r="L26" s="303"/>
      <c r="M26" s="303"/>
      <c r="N26" s="303"/>
    </row>
    <row r="27" spans="2:22" ht="54.75" customHeight="1" x14ac:dyDescent="0.25">
      <c r="B27" s="134">
        <f>B26/B21</f>
        <v>0.85707857167887347</v>
      </c>
      <c r="C27" s="135">
        <f>C26/C21</f>
        <v>0.63921005124714669</v>
      </c>
      <c r="D27" s="135">
        <f>D26/D21</f>
        <v>0.39071435298357793</v>
      </c>
      <c r="E27" s="136">
        <f>E26/E21</f>
        <v>6.0728435702596312E-2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38511.627906976741</v>
      </c>
      <c r="C5" s="172">
        <f>'LEAP Region'!C49*1000000</f>
        <v>179720.93023255814</v>
      </c>
      <c r="D5" s="172">
        <f>'LEAP Region'!D49*1000000</f>
        <v>282418.60465116281</v>
      </c>
      <c r="E5" s="173">
        <f>'LEAP Region'!E49*1000000</f>
        <v>414000.00000000006</v>
      </c>
      <c r="G5" s="301" t="s">
        <v>186</v>
      </c>
      <c r="H5" s="301"/>
      <c r="I5" s="301"/>
      <c r="J5" s="301"/>
      <c r="K5" s="301"/>
      <c r="L5" s="301"/>
      <c r="M5" s="301"/>
      <c r="N5" s="301"/>
    </row>
    <row r="6" spans="2:14" s="126" customFormat="1" ht="45" customHeight="1" x14ac:dyDescent="0.2">
      <c r="B6" s="304">
        <v>400</v>
      </c>
      <c r="C6" s="305"/>
      <c r="D6" s="305"/>
      <c r="E6" s="306"/>
      <c r="G6" s="301" t="s">
        <v>475</v>
      </c>
      <c r="H6" s="301"/>
      <c r="I6" s="301"/>
      <c r="J6" s="301"/>
      <c r="K6" s="301"/>
      <c r="L6" s="301"/>
      <c r="M6" s="301"/>
      <c r="N6" s="301"/>
    </row>
    <row r="7" spans="2:14" s="126" customFormat="1" ht="45" customHeight="1" x14ac:dyDescent="0.2">
      <c r="B7" s="171">
        <f>B5/13/$B$6</f>
        <v>7.4060822898032193</v>
      </c>
      <c r="C7" s="172">
        <f>C5/13/$B$6</f>
        <v>34.561717352415023</v>
      </c>
      <c r="D7" s="172">
        <f>D5/13/$B$6</f>
        <v>54.311270125223615</v>
      </c>
      <c r="E7" s="172">
        <f>E5/13/$B$6</f>
        <v>79.615384615384627</v>
      </c>
      <c r="G7" s="301" t="s">
        <v>185</v>
      </c>
      <c r="H7" s="301"/>
      <c r="I7" s="301"/>
      <c r="J7" s="301"/>
      <c r="K7" s="301"/>
      <c r="L7" s="301"/>
      <c r="M7" s="301"/>
      <c r="N7" s="301"/>
    </row>
    <row r="8" spans="2:14" s="126" customFormat="1" ht="45" customHeight="1" x14ac:dyDescent="0.2">
      <c r="B8" s="36">
        <f>'2.Heat Targets'!B31*1.5</f>
        <v>157.5</v>
      </c>
      <c r="C8" s="36">
        <f>'2.Heat Targets'!C31*1.5</f>
        <v>166.95000000000002</v>
      </c>
      <c r="D8" s="36">
        <f>'2.Heat Targets'!D31*1.5</f>
        <v>176.96700000000004</v>
      </c>
      <c r="E8" s="36">
        <f>'2.Heat Targets'!E31*1.5</f>
        <v>187.58502000000004</v>
      </c>
      <c r="G8" s="301" t="s">
        <v>187</v>
      </c>
      <c r="H8" s="301"/>
      <c r="I8" s="301"/>
      <c r="J8" s="301"/>
      <c r="K8" s="301"/>
      <c r="L8" s="301"/>
      <c r="M8" s="301"/>
      <c r="N8" s="301"/>
    </row>
    <row r="9" spans="2:14" s="126" customFormat="1" ht="45" customHeight="1" x14ac:dyDescent="0.2">
      <c r="B9" s="174">
        <f>B7/B8</f>
        <v>4.7022744697163298E-2</v>
      </c>
      <c r="C9" s="175">
        <f>C7/C8</f>
        <v>0.2070183728805931</v>
      </c>
      <c r="D9" s="175">
        <f>D7/D8</f>
        <v>0.30690055278794126</v>
      </c>
      <c r="E9" s="176">
        <f>E7/E8</f>
        <v>0.42442293428006461</v>
      </c>
      <c r="G9" s="301" t="s">
        <v>188</v>
      </c>
      <c r="H9" s="301"/>
      <c r="I9" s="301"/>
      <c r="J9" s="301"/>
      <c r="K9" s="301"/>
      <c r="L9" s="301"/>
      <c r="M9" s="301"/>
      <c r="N9" s="30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22" zoomScale="70" zoomScaleNormal="70" workbookViewId="0">
      <selection activeCell="E50" sqref="E50"/>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1.7000000000000001E-2</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238.00000000000003</v>
      </c>
      <c r="O19" s="224">
        <f>I4*$R$16*1000</f>
        <v>850.00000000000011</v>
      </c>
      <c r="P19" s="224">
        <f>J4*$R$16*1000</f>
        <v>1394.0000000000002</v>
      </c>
      <c r="Q19" s="224">
        <f>K4*$R$16*1000</f>
        <v>2159.0000000000005</v>
      </c>
    </row>
    <row r="20" spans="1:17" x14ac:dyDescent="0.25">
      <c r="B20" s="21"/>
      <c r="C20" s="21"/>
      <c r="D20" s="21"/>
      <c r="E20" s="21"/>
      <c r="H20" s="23"/>
      <c r="I20" s="23"/>
      <c r="J20" s="23"/>
      <c r="K20" s="23"/>
      <c r="L20" s="22"/>
      <c r="M20" s="222" t="s">
        <v>3</v>
      </c>
      <c r="N20" s="224">
        <f t="shared" ref="N20:N28" si="0">H5*$R$16*1000</f>
        <v>31603</v>
      </c>
      <c r="O20" s="224">
        <f t="shared" ref="O20:O28" si="1">I5*$R$16*1000</f>
        <v>24990.000000000004</v>
      </c>
      <c r="P20" s="224">
        <f t="shared" ref="P20:P28" si="2">J5*$R$16*1000</f>
        <v>19176.000000000004</v>
      </c>
      <c r="Q20" s="224">
        <f t="shared" ref="Q20:Q28" si="3">K5*$R$16*1000</f>
        <v>12750.000000000002</v>
      </c>
    </row>
    <row r="21" spans="1:17" x14ac:dyDescent="0.25">
      <c r="L21" s="22"/>
      <c r="M21" s="222" t="s">
        <v>548</v>
      </c>
      <c r="N21" s="224">
        <f t="shared" si="0"/>
        <v>3519</v>
      </c>
      <c r="O21" s="224">
        <f t="shared" si="1"/>
        <v>3179.0000000000005</v>
      </c>
      <c r="P21" s="224">
        <f t="shared" si="2"/>
        <v>1734.0000000000002</v>
      </c>
      <c r="Q21" s="224">
        <f t="shared" si="3"/>
        <v>527</v>
      </c>
    </row>
    <row r="22" spans="1:17" ht="33.75" customHeight="1" x14ac:dyDescent="0.25">
      <c r="A22" s="231" t="s">
        <v>472</v>
      </c>
      <c r="B22" s="232"/>
      <c r="C22" s="232"/>
      <c r="D22" s="232"/>
      <c r="E22" s="233"/>
      <c r="G22" s="231" t="s">
        <v>473</v>
      </c>
      <c r="H22" s="232"/>
      <c r="I22" s="232"/>
      <c r="J22" s="232"/>
      <c r="K22" s="233"/>
      <c r="L22" s="22"/>
      <c r="M22" s="222" t="s">
        <v>5</v>
      </c>
      <c r="N22" s="224">
        <f t="shared" si="0"/>
        <v>391</v>
      </c>
      <c r="O22" s="224">
        <f t="shared" si="1"/>
        <v>1870</v>
      </c>
      <c r="P22" s="224">
        <f t="shared" si="2"/>
        <v>3825</v>
      </c>
      <c r="Q22" s="224">
        <f t="shared" si="3"/>
        <v>4590.0000000000009</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272</v>
      </c>
      <c r="O23" s="224">
        <f t="shared" si="1"/>
        <v>782</v>
      </c>
      <c r="P23" s="224">
        <f t="shared" si="2"/>
        <v>1530</v>
      </c>
      <c r="Q23" s="224">
        <f t="shared" si="3"/>
        <v>2142.0000000000005</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2040</v>
      </c>
      <c r="O24" s="224">
        <f t="shared" si="1"/>
        <v>2363</v>
      </c>
      <c r="P24" s="224">
        <f t="shared" si="2"/>
        <v>2737</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12019</v>
      </c>
      <c r="O25" s="224">
        <f t="shared" si="1"/>
        <v>9401</v>
      </c>
      <c r="P25" s="224">
        <f t="shared" si="2"/>
        <v>6018.0000000000009</v>
      </c>
      <c r="Q25" s="224">
        <f t="shared" si="3"/>
        <v>2108</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28798</v>
      </c>
      <c r="O27" s="224">
        <f t="shared" si="1"/>
        <v>19346</v>
      </c>
      <c r="P27" s="224">
        <f t="shared" si="2"/>
        <v>10217</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5372.0000000000009</v>
      </c>
      <c r="O28" s="224">
        <f t="shared" si="1"/>
        <v>6001</v>
      </c>
      <c r="P28" s="224">
        <f t="shared" si="2"/>
        <v>5389</v>
      </c>
      <c r="Q28" s="224">
        <f t="shared" si="3"/>
        <v>5032</v>
      </c>
    </row>
    <row r="29" spans="1:17" x14ac:dyDescent="0.25">
      <c r="A29" s="6" t="s">
        <v>24</v>
      </c>
      <c r="B29" s="18">
        <v>0</v>
      </c>
      <c r="C29" s="18">
        <v>0</v>
      </c>
      <c r="D29" s="18">
        <v>0</v>
      </c>
      <c r="E29" s="19">
        <v>0</v>
      </c>
      <c r="G29" s="1" t="s">
        <v>24</v>
      </c>
      <c r="H29" s="4">
        <v>0</v>
      </c>
      <c r="I29" s="4">
        <v>0</v>
      </c>
      <c r="J29" s="4">
        <v>0</v>
      </c>
      <c r="K29" s="5">
        <v>0</v>
      </c>
      <c r="M29" s="222" t="s">
        <v>550</v>
      </c>
      <c r="N29" s="225">
        <f>(B14-H14)*$R$16*1000</f>
        <v>2227.0000000000005</v>
      </c>
      <c r="O29" s="225">
        <f t="shared" ref="O29:Q29" si="4">(C14-I14)*$R$16*1000</f>
        <v>3723.0000000000005</v>
      </c>
      <c r="P29" s="225">
        <f t="shared" si="4"/>
        <v>7888.0000000000009</v>
      </c>
      <c r="Q29" s="225">
        <f t="shared" si="4"/>
        <v>11577</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1.9E-2</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152</v>
      </c>
      <c r="O51" s="223">
        <f t="shared" ref="O51:Q57" si="5">U4*$Q$48*1000</f>
        <v>930.99999999999989</v>
      </c>
      <c r="P51" s="223">
        <f t="shared" si="5"/>
        <v>1748</v>
      </c>
      <c r="Q51" s="223">
        <f t="shared" si="5"/>
        <v>3116</v>
      </c>
    </row>
    <row r="52" spans="1:17" x14ac:dyDescent="0.25">
      <c r="M52" s="223" t="s">
        <v>14</v>
      </c>
      <c r="N52" s="223">
        <f t="shared" ref="N52:N57" si="6">T5*$Q$48*1000</f>
        <v>7752</v>
      </c>
      <c r="O52" s="223">
        <f t="shared" si="5"/>
        <v>5776</v>
      </c>
      <c r="P52" s="223">
        <f t="shared" si="5"/>
        <v>3553</v>
      </c>
      <c r="Q52" s="223">
        <f t="shared" si="5"/>
        <v>19</v>
      </c>
    </row>
    <row r="53" spans="1:17" x14ac:dyDescent="0.25">
      <c r="M53" s="223" t="s">
        <v>15</v>
      </c>
      <c r="N53" s="223">
        <f t="shared" si="6"/>
        <v>14136</v>
      </c>
      <c r="O53" s="223">
        <f t="shared" si="5"/>
        <v>14003</v>
      </c>
      <c r="P53" s="223">
        <f t="shared" si="5"/>
        <v>13565.999999999998</v>
      </c>
      <c r="Q53" s="223">
        <f t="shared" si="5"/>
        <v>13148</v>
      </c>
    </row>
    <row r="54" spans="1:17" x14ac:dyDescent="0.25">
      <c r="M54" s="223" t="s">
        <v>8</v>
      </c>
      <c r="N54" s="223">
        <f t="shared" si="6"/>
        <v>5681</v>
      </c>
      <c r="O54" s="223">
        <f t="shared" si="5"/>
        <v>4902</v>
      </c>
      <c r="P54" s="223">
        <f t="shared" si="5"/>
        <v>3971</v>
      </c>
      <c r="Q54" s="223">
        <f t="shared" si="5"/>
        <v>2527</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797.99999999999989</v>
      </c>
      <c r="O56" s="223">
        <f t="shared" si="5"/>
        <v>589</v>
      </c>
      <c r="P56" s="223">
        <f t="shared" si="5"/>
        <v>361</v>
      </c>
      <c r="Q56" s="223">
        <f t="shared" si="5"/>
        <v>0</v>
      </c>
    </row>
    <row r="57" spans="1:17" x14ac:dyDescent="0.25">
      <c r="M57" s="223" t="s">
        <v>17</v>
      </c>
      <c r="N57" s="223">
        <f t="shared" si="6"/>
        <v>2679</v>
      </c>
      <c r="O57" s="223">
        <f t="shared" si="5"/>
        <v>3667</v>
      </c>
      <c r="P57" s="223">
        <f t="shared" si="5"/>
        <v>4636</v>
      </c>
      <c r="Q57" s="223">
        <f t="shared" si="5"/>
        <v>6308</v>
      </c>
    </row>
    <row r="58" spans="1:17" x14ac:dyDescent="0.25">
      <c r="M58" s="223" t="s">
        <v>550</v>
      </c>
      <c r="N58" s="223">
        <f>(N11-T11)*$Q$48*1000</f>
        <v>266</v>
      </c>
      <c r="O58" s="223">
        <f>(O11-U11)*$Q$48*1000</f>
        <v>1653</v>
      </c>
      <c r="P58" s="223">
        <f t="shared" ref="P58:Q58" si="7">(P11-V11)*$Q$48*1000</f>
        <v>3135</v>
      </c>
      <c r="Q58" s="223">
        <f t="shared" si="7"/>
        <v>5567</v>
      </c>
    </row>
    <row r="60" spans="1:17" ht="15.75" thickBot="1" x14ac:dyDescent="0.3"/>
    <row r="61" spans="1:17" ht="15.75" thickBot="1" x14ac:dyDescent="0.3">
      <c r="N61" t="s">
        <v>572</v>
      </c>
      <c r="Q61" s="229">
        <v>1.9E-2</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55537</v>
      </c>
      <c r="O64" s="223">
        <f t="shared" ref="O64:Q68" si="8">I24*$Q$61*1000</f>
        <v>39786</v>
      </c>
      <c r="P64" s="223">
        <f t="shared" si="8"/>
        <v>22154</v>
      </c>
      <c r="Q64" s="223">
        <f t="shared" si="8"/>
        <v>1728.9999999999998</v>
      </c>
    </row>
    <row r="65" spans="13:17" x14ac:dyDescent="0.25">
      <c r="M65" s="223" t="s">
        <v>22</v>
      </c>
      <c r="N65" s="223">
        <f t="shared" ref="N65:N68" si="9">H25*$Q$61*1000</f>
        <v>7410</v>
      </c>
      <c r="O65" s="223">
        <f t="shared" si="8"/>
        <v>4939.9999999999991</v>
      </c>
      <c r="P65" s="223">
        <f t="shared" si="8"/>
        <v>2679</v>
      </c>
      <c r="Q65" s="223">
        <f t="shared" si="8"/>
        <v>304</v>
      </c>
    </row>
    <row r="66" spans="13:17" x14ac:dyDescent="0.25">
      <c r="M66" s="223" t="s">
        <v>23</v>
      </c>
      <c r="N66" s="223">
        <f t="shared" si="9"/>
        <v>56.999999999999993</v>
      </c>
      <c r="O66" s="223">
        <f t="shared" si="8"/>
        <v>1558</v>
      </c>
      <c r="P66" s="223">
        <f t="shared" si="8"/>
        <v>4522</v>
      </c>
      <c r="Q66" s="223">
        <f t="shared" si="8"/>
        <v>8759</v>
      </c>
    </row>
    <row r="67" spans="13:17" x14ac:dyDescent="0.25">
      <c r="M67" s="223" t="s">
        <v>20</v>
      </c>
      <c r="N67" s="223">
        <f t="shared" si="9"/>
        <v>1861.9999999999998</v>
      </c>
      <c r="O67" s="223">
        <f t="shared" si="8"/>
        <v>1159</v>
      </c>
      <c r="P67" s="223">
        <f t="shared" si="8"/>
        <v>627</v>
      </c>
      <c r="Q67" s="223">
        <f t="shared" si="8"/>
        <v>19</v>
      </c>
    </row>
    <row r="68" spans="13:17" x14ac:dyDescent="0.25">
      <c r="M68" s="223" t="s">
        <v>18</v>
      </c>
      <c r="N68" s="223">
        <f t="shared" si="9"/>
        <v>152</v>
      </c>
      <c r="O68" s="223">
        <f t="shared" si="8"/>
        <v>722</v>
      </c>
      <c r="P68" s="223">
        <f t="shared" si="8"/>
        <v>1159</v>
      </c>
      <c r="Q68" s="223">
        <f t="shared" si="8"/>
        <v>1653</v>
      </c>
    </row>
    <row r="69" spans="13:17" x14ac:dyDescent="0.25">
      <c r="M69" s="230" t="s">
        <v>550</v>
      </c>
      <c r="O69">
        <f t="shared" ref="O69:Q69" si="10">(C30-I30)*$Q$61*1000</f>
        <v>5016</v>
      </c>
      <c r="P69">
        <f t="shared" si="10"/>
        <v>14516</v>
      </c>
      <c r="Q69">
        <f t="shared" si="10"/>
        <v>26258</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2017-05-12T18:50:41Z</dcterms:modified>
</cp:coreProperties>
</file>