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Brunswick\"/>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G21" i="201"/>
  <c r="D21" i="201"/>
  <c r="D20" i="201"/>
  <c r="D19" i="201"/>
  <c r="G19" i="201" s="1"/>
  <c r="G18" i="201"/>
  <c r="D18" i="201"/>
  <c r="D17" i="201"/>
  <c r="G17" i="201" s="1"/>
  <c r="D16" i="201"/>
  <c r="D15" i="201"/>
  <c r="G15" i="201" s="1"/>
  <c r="D14" i="201"/>
  <c r="G14" i="201" s="1"/>
  <c r="D13" i="201"/>
  <c r="G13" i="201" s="1"/>
  <c r="D12" i="201"/>
  <c r="D11" i="201"/>
  <c r="G11" i="201" s="1"/>
  <c r="D10" i="201"/>
  <c r="G10" i="201" s="1"/>
  <c r="D9" i="201"/>
  <c r="G9" i="201" s="1"/>
  <c r="D8" i="201"/>
  <c r="E5" i="201"/>
  <c r="E4" i="201"/>
  <c r="D3" i="201"/>
  <c r="E3" i="201" s="1"/>
  <c r="E34" i="201" s="1"/>
  <c r="C3" i="201"/>
  <c r="B3" i="201"/>
  <c r="E17" i="201" l="1"/>
  <c r="E26" i="201"/>
  <c r="E10" i="201"/>
  <c r="H10" i="201" s="1"/>
  <c r="G8" i="201"/>
  <c r="E8" i="201"/>
  <c r="E56" i="201"/>
  <c r="E54" i="201"/>
  <c r="E52" i="201"/>
  <c r="H52" i="201" s="1"/>
  <c r="E50" i="201"/>
  <c r="H50" i="201" s="1"/>
  <c r="E48" i="201"/>
  <c r="E46" i="201"/>
  <c r="E44" i="201"/>
  <c r="H44" i="201" s="1"/>
  <c r="E42" i="201"/>
  <c r="H42" i="201" s="1"/>
  <c r="E13" i="201"/>
  <c r="G20" i="201"/>
  <c r="H20" i="201" s="1"/>
  <c r="E20" i="201"/>
  <c r="E22" i="201"/>
  <c r="E24" i="201"/>
  <c r="H24" i="201" s="1"/>
  <c r="E32" i="201"/>
  <c r="H32" i="201" s="1"/>
  <c r="E40" i="201"/>
  <c r="E9" i="201"/>
  <c r="H9" i="201" s="1"/>
  <c r="G16" i="201"/>
  <c r="E16" i="201"/>
  <c r="E18" i="201"/>
  <c r="H18" i="201" s="1"/>
  <c r="H22" i="201"/>
  <c r="E30" i="201"/>
  <c r="E38" i="201"/>
  <c r="G12" i="201"/>
  <c r="E12" i="201"/>
  <c r="E14" i="201"/>
  <c r="H14" i="201" s="1"/>
  <c r="E21" i="201"/>
  <c r="H21" i="201" s="1"/>
  <c r="E28" i="201"/>
  <c r="H28" i="201" s="1"/>
  <c r="E36" i="201"/>
  <c r="H13" i="201"/>
  <c r="H17" i="201"/>
  <c r="H35" i="201"/>
  <c r="H51" i="201"/>
  <c r="E11" i="201"/>
  <c r="H11" i="201" s="1"/>
  <c r="E15" i="201"/>
  <c r="H15" i="201" s="1"/>
  <c r="E19" i="201"/>
  <c r="H19" i="201" s="1"/>
  <c r="E23" i="201"/>
  <c r="H23" i="201" s="1"/>
  <c r="E25" i="201"/>
  <c r="H25" i="201" s="1"/>
  <c r="E27" i="201"/>
  <c r="H27" i="201" s="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4" i="201"/>
  <c r="H36" i="201"/>
  <c r="H38" i="201"/>
  <c r="H40" i="201"/>
  <c r="H46" i="201"/>
  <c r="H48" i="201"/>
  <c r="H54" i="201"/>
  <c r="H56" i="201"/>
  <c r="H16" i="201" l="1"/>
  <c r="H12" i="20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Q69" i="198" s="1"/>
  <c r="D30" i="198"/>
  <c r="P69" i="198" s="1"/>
  <c r="C30" i="198"/>
  <c r="O69" i="198" s="1"/>
  <c r="B30" i="198"/>
  <c r="K14" i="198"/>
  <c r="J14" i="198"/>
  <c r="I14" i="198"/>
  <c r="H14" i="198"/>
  <c r="E14" i="198"/>
  <c r="Q29" i="198" s="1"/>
  <c r="D14" i="198"/>
  <c r="P29" i="198" s="1"/>
  <c r="C14" i="198"/>
  <c r="B14" i="198"/>
  <c r="N29" i="198" s="1"/>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E68" i="197"/>
  <c r="AA88" i="197"/>
  <c r="T96" i="197"/>
  <c r="S116" i="197"/>
  <c r="AE120" i="197"/>
  <c r="AA124" i="197"/>
  <c r="S132" i="197"/>
  <c r="AB140" i="197"/>
  <c r="W144" i="197"/>
  <c r="T148" i="197"/>
  <c r="AE152" i="197"/>
  <c r="AA156" i="197"/>
  <c r="S164" i="197"/>
  <c r="AB168" i="197"/>
  <c r="AB172" i="197"/>
  <c r="AE176" i="197"/>
  <c r="T180" i="197"/>
  <c r="AE180" i="197"/>
  <c r="W184" i="197"/>
  <c r="V188" i="197"/>
  <c r="AD188" i="197"/>
  <c r="V196" i="197"/>
  <c r="AD196" i="197"/>
  <c r="Y200" i="197"/>
  <c r="AD204" i="197"/>
  <c r="Y208" i="197"/>
  <c r="V212" i="197"/>
  <c r="Y216" i="197"/>
  <c r="V220" i="197"/>
  <c r="AD220" i="197"/>
  <c r="V228" i="197"/>
  <c r="AD228" i="197"/>
  <c r="Y232" i="197"/>
  <c r="Y236" i="197"/>
  <c r="AD236" i="197"/>
  <c r="X237" i="197"/>
  <c r="AB240" i="197"/>
  <c r="V244" i="197"/>
  <c r="AB244" i="197"/>
  <c r="X248" i="197"/>
  <c r="AC248" i="197"/>
  <c r="R12" i="197"/>
  <c r="R44" i="197"/>
  <c r="R60" i="197"/>
  <c r="R76"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AD181" i="197" s="1"/>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U245" i="197" s="1"/>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O29" i="198" l="1"/>
  <c r="V240" i="197"/>
  <c r="T236" i="197"/>
  <c r="Y224" i="197"/>
  <c r="AD212" i="197"/>
  <c r="V204" i="197"/>
  <c r="Y192" i="197"/>
  <c r="T176" i="197"/>
  <c r="X160" i="197"/>
  <c r="AA145" i="197"/>
  <c r="X128" i="197"/>
  <c r="AB112"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N58" i="198" s="1"/>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107" i="197" s="1"/>
  <c r="P58" i="198"/>
  <c r="O58" i="198"/>
  <c r="AK4" i="197"/>
  <c r="AH246" i="197" s="1"/>
  <c r="Q58" i="198"/>
  <c r="AH108" i="197"/>
  <c r="AH60" i="197"/>
  <c r="AH155" i="197"/>
  <c r="AH168" i="197"/>
  <c r="AH7" i="197"/>
  <c r="AH190" i="197"/>
  <c r="AH148" i="197"/>
  <c r="AH179" i="197"/>
  <c r="AH177" i="197"/>
  <c r="AH230" i="197"/>
  <c r="AH171" i="197"/>
  <c r="AH91" i="197"/>
  <c r="AH226" i="197"/>
  <c r="AH82" i="197"/>
  <c r="AH9" i="197"/>
  <c r="AH56" i="197"/>
  <c r="AH87" i="197"/>
  <c r="AH23" i="197"/>
  <c r="AH181" i="197"/>
  <c r="AH101" i="197"/>
  <c r="AH37" i="197"/>
  <c r="AH52" i="197"/>
  <c r="AH36" i="197"/>
  <c r="AH4" i="197"/>
  <c r="AH147" i="197"/>
  <c r="AH115" i="197"/>
  <c r="AH35" i="197"/>
  <c r="AH58" i="197"/>
  <c r="AH42" i="197"/>
  <c r="AH129" i="197"/>
  <c r="AH112" i="197"/>
  <c r="AH96" i="197"/>
  <c r="AH64"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37" i="186"/>
  <c r="F29" i="186"/>
  <c r="E41" i="186"/>
  <c r="F38" i="186" s="1"/>
  <c r="F28" i="186" l="1"/>
  <c r="F35" i="186"/>
  <c r="AH85" i="197"/>
  <c r="AH213" i="197"/>
  <c r="AH199" i="197"/>
  <c r="AH137" i="197"/>
  <c r="AH59" i="197"/>
  <c r="AH220" i="197"/>
  <c r="F32" i="186"/>
  <c r="F39" i="186"/>
  <c r="AH16" i="197"/>
  <c r="AH234" i="197"/>
  <c r="AH138" i="197"/>
  <c r="AH211" i="197"/>
  <c r="AH116" i="197"/>
  <c r="AH133" i="197"/>
  <c r="AH55" i="197"/>
  <c r="AH104" i="197"/>
  <c r="AH114" i="197"/>
  <c r="AH198" i="197"/>
  <c r="AH117" i="197"/>
  <c r="AH18" i="197"/>
  <c r="F27" i="186"/>
  <c r="F33" i="186"/>
  <c r="F40"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D21" i="189" l="1"/>
  <c r="E21" i="189" s="1"/>
  <c r="C21" i="189"/>
  <c r="V7" i="199"/>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H4" i="194"/>
  <c r="E256" i="194" s="1"/>
  <c r="H3" i="194"/>
  <c r="E204" i="194" s="1"/>
  <c r="E47" i="194"/>
  <c r="E31" i="194"/>
  <c r="H12" i="194"/>
  <c r="E91" i="194" s="1"/>
  <c r="H2" i="194"/>
  <c r="E32" i="194" s="1"/>
  <c r="E237" i="194"/>
  <c r="E225" i="194"/>
  <c r="E213" i="194"/>
  <c r="E19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186" i="194" l="1"/>
  <c r="E74" i="194"/>
  <c r="E209" i="194"/>
  <c r="E82" i="194"/>
  <c r="E173" i="194"/>
  <c r="E22" i="194"/>
  <c r="C83" i="188"/>
  <c r="B83" i="188"/>
  <c r="D7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9" i="199" s="1"/>
  <c r="K28" i="199"/>
  <c r="K26" i="199"/>
  <c r="E18" i="189" s="1"/>
  <c r="K24" i="199"/>
  <c r="J28" i="199"/>
  <c r="J26" i="199"/>
  <c r="D18" i="189" s="1"/>
  <c r="J24" i="199"/>
  <c r="I28" i="199"/>
  <c r="I26" i="199"/>
  <c r="C18" i="189" s="1"/>
  <c r="I24" i="199"/>
  <c r="H29" i="199"/>
  <c r="H27" i="199"/>
  <c r="H25" i="199"/>
  <c r="C24" i="199"/>
  <c r="C26" i="199"/>
  <c r="C28"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C29" i="199" l="1"/>
  <c r="C25" i="199"/>
  <c r="H26" i="199"/>
  <c r="B18" i="189" s="1"/>
  <c r="B24" i="199"/>
  <c r="I27" i="199"/>
  <c r="J25" i="199"/>
  <c r="J29" i="199"/>
  <c r="J30" i="199" s="1"/>
  <c r="K27" i="199"/>
  <c r="C27" i="199"/>
  <c r="H24" i="199"/>
  <c r="H28" i="199"/>
  <c r="B23" i="189" s="1"/>
  <c r="I25" i="199"/>
  <c r="I29" i="199"/>
  <c r="J27" i="199"/>
  <c r="K25" i="199"/>
  <c r="K30" i="199" s="1"/>
  <c r="D23" i="189"/>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D55" i="188"/>
  <c r="D56" i="188" s="1"/>
  <c r="D65" i="188"/>
  <c r="K14" i="199"/>
  <c r="E26" i="188" s="1"/>
  <c r="E55" i="188"/>
  <c r="E56" i="188" s="1"/>
  <c r="E65" i="188"/>
  <c r="C14" i="199"/>
  <c r="C24" i="188" s="1"/>
  <c r="H14" i="199"/>
  <c r="B26" i="188" s="1"/>
  <c r="J14" i="199"/>
  <c r="D26" i="188" s="1"/>
  <c r="D14" i="199"/>
  <c r="D24" i="188" s="1"/>
  <c r="B14" i="199"/>
  <c r="B24" i="188" s="1"/>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H30" i="199" l="1"/>
  <c r="E23" i="189"/>
  <c r="E24" i="189" s="1"/>
  <c r="B24" i="189"/>
  <c r="D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<sst xmlns="http://schemas.openxmlformats.org/spreadsheetml/2006/main" count="1659" uniqueCount="573">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</sst>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238.00000000000003</c:v>
                </c:pt>
                <c:pt idx="1">
                  <c:v>850.00000000000011</c:v>
                </c:pt>
                <c:pt idx="2">
                  <c:v>1394.0000000000002</c:v>
                </c:pt>
                <c:pt idx="3">
                  <c:v>2159.0000000000005</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31603</c:v>
                </c:pt>
                <c:pt idx="1">
                  <c:v>24990.000000000004</c:v>
                </c:pt>
                <c:pt idx="2">
                  <c:v>19176.000000000004</c:v>
                </c:pt>
                <c:pt idx="3">
                  <c:v>12750.000000000002</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3519</c:v>
                </c:pt>
                <c:pt idx="1">
                  <c:v>3179.0000000000005</c:v>
                </c:pt>
                <c:pt idx="2">
                  <c:v>1734.0000000000002</c:v>
                </c:pt>
                <c:pt idx="3">
                  <c:v>527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391</c:v>
                </c:pt>
                <c:pt idx="1">
                  <c:v>1870</c:v>
                </c:pt>
                <c:pt idx="2">
                  <c:v>3825</c:v>
                </c:pt>
                <c:pt idx="3">
                  <c:v>4590.0000000000009</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272</c:v>
                </c:pt>
                <c:pt idx="1">
                  <c:v>782</c:v>
                </c:pt>
                <c:pt idx="2">
                  <c:v>1530</c:v>
                </c:pt>
                <c:pt idx="3">
                  <c:v>2142.0000000000005</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2040</c:v>
                </c:pt>
                <c:pt idx="1">
                  <c:v>2363</c:v>
                </c:pt>
                <c:pt idx="2">
                  <c:v>2737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12019</c:v>
                </c:pt>
                <c:pt idx="1">
                  <c:v>9401</c:v>
                </c:pt>
                <c:pt idx="2">
                  <c:v>6018.0000000000009</c:v>
                </c:pt>
                <c:pt idx="3">
                  <c:v>2108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28798</c:v>
                </c:pt>
                <c:pt idx="1">
                  <c:v>19346</c:v>
                </c:pt>
                <c:pt idx="2">
                  <c:v>10217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5372.0000000000009</c:v>
                </c:pt>
                <c:pt idx="1">
                  <c:v>6001</c:v>
                </c:pt>
                <c:pt idx="2">
                  <c:v>5389</c:v>
                </c:pt>
                <c:pt idx="3">
                  <c:v>5032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2227.0000000000005</c:v>
                </c:pt>
                <c:pt idx="1">
                  <c:v>3723.0000000000005</c:v>
                </c:pt>
                <c:pt idx="2">
                  <c:v>7888.0000000000009</c:v>
                </c:pt>
                <c:pt idx="3">
                  <c:v>11577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132578760"/>
        <c:axId val="222947824"/>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132578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947824"/>
        <c:crosses val="autoZero"/>
        <c:auto val="1"/>
        <c:lblAlgn val="ctr"/>
        <c:lblOffset val="100"/>
        <c:noMultiLvlLbl val="0"/>
      </c:catAx>
      <c:valAx>
        <c:axId val="2229478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3257876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152</c:v>
                </c:pt>
                <c:pt idx="1">
                  <c:v>930.99999999999989</c:v>
                </c:pt>
                <c:pt idx="2">
                  <c:v>1748</c:v>
                </c:pt>
                <c:pt idx="3">
                  <c:v>3116</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7752</c:v>
                </c:pt>
                <c:pt idx="1">
                  <c:v>5776</c:v>
                </c:pt>
                <c:pt idx="2">
                  <c:v>3553</c:v>
                </c:pt>
                <c:pt idx="3">
                  <c:v>19</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14136</c:v>
                </c:pt>
                <c:pt idx="1">
                  <c:v>14003</c:v>
                </c:pt>
                <c:pt idx="2">
                  <c:v>13565.999999999998</c:v>
                </c:pt>
                <c:pt idx="3">
                  <c:v>13148</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5681</c:v>
                </c:pt>
                <c:pt idx="1">
                  <c:v>4902</c:v>
                </c:pt>
                <c:pt idx="2">
                  <c:v>3971</c:v>
                </c:pt>
                <c:pt idx="3">
                  <c:v>2527</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797.99999999999989</c:v>
                </c:pt>
                <c:pt idx="1">
                  <c:v>589</c:v>
                </c:pt>
                <c:pt idx="2">
                  <c:v>361</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2679</c:v>
                </c:pt>
                <c:pt idx="1">
                  <c:v>3667</c:v>
                </c:pt>
                <c:pt idx="2">
                  <c:v>4636</c:v>
                </c:pt>
                <c:pt idx="3">
                  <c:v>6308</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266</c:v>
                </c:pt>
                <c:pt idx="1">
                  <c:v>1653</c:v>
                </c:pt>
                <c:pt idx="2">
                  <c:v>3135</c:v>
                </c:pt>
                <c:pt idx="3">
                  <c:v>5567</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222947040"/>
        <c:axId val="222948216"/>
      </c:barChart>
      <c:catAx>
        <c:axId val="2229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948216"/>
        <c:crosses val="autoZero"/>
        <c:auto val="1"/>
        <c:lblAlgn val="ctr"/>
        <c:lblOffset val="100"/>
        <c:noMultiLvlLbl val="0"/>
      </c:catAx>
      <c:valAx>
        <c:axId val="2229482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22947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55537</c:v>
                </c:pt>
                <c:pt idx="1">
                  <c:v>39786</c:v>
                </c:pt>
                <c:pt idx="2">
                  <c:v>22154</c:v>
                </c:pt>
                <c:pt idx="3">
                  <c:v>1728.9999999999998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7410</c:v>
                </c:pt>
                <c:pt idx="1">
                  <c:v>4939.9999999999991</c:v>
                </c:pt>
                <c:pt idx="2">
                  <c:v>2679</c:v>
                </c:pt>
                <c:pt idx="3">
                  <c:v>304</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56.999999999999993</c:v>
                </c:pt>
                <c:pt idx="1">
                  <c:v>1558</c:v>
                </c:pt>
                <c:pt idx="2">
                  <c:v>4522</c:v>
                </c:pt>
                <c:pt idx="3">
                  <c:v>8759</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1861.9999999999998</c:v>
                </c:pt>
                <c:pt idx="1">
                  <c:v>1159</c:v>
                </c:pt>
                <c:pt idx="2">
                  <c:v>627</c:v>
                </c:pt>
                <c:pt idx="3">
                  <c:v>19</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152</c:v>
                </c:pt>
                <c:pt idx="1">
                  <c:v>722</c:v>
                </c:pt>
                <c:pt idx="2">
                  <c:v>1159</c:v>
                </c:pt>
                <c:pt idx="3">
                  <c:v>1653</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5016</c:v>
                </c:pt>
                <c:pt idx="2">
                  <c:v>14516</c:v>
                </c:pt>
                <c:pt idx="3">
                  <c:v>26258</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438598168"/>
        <c:axId val="438599736"/>
      </c:barChart>
      <c:catAx>
        <c:axId val="43859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8599736"/>
        <c:crosses val="autoZero"/>
        <c:auto val="1"/>
        <c:lblAlgn val="ctr"/>
        <c:lblOffset val="100"/>
        <c:noMultiLvlLbl val="0"/>
      </c:catAx>
      <c:valAx>
        <c:axId val="438599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85981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53578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1.1533340358069985E-2</v>
      </c>
      <c r="I4" s="4">
        <f>res_share_state_target*'LEAP Statewide'!I4</f>
        <v>6.9736476583678972E-2</v>
      </c>
      <c r="J4" s="4">
        <f>res_share_state_target*'LEAP Statewide'!J4</f>
        <v>0.13156054524728669</v>
      </c>
      <c r="K4" s="5">
        <f>res_share_state_target*'LEAP Statewide'!K4</f>
        <v>0.24220014751946967</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v>
      </c>
      <c r="U4" s="4">
        <f ca="1">com_share_state_target*'LEAP Statewide'!U4</f>
        <v>0</v>
      </c>
      <c r="V4" s="4">
        <f ca="1">com_share_state_target*'LEAP Statewide'!V4</f>
        <v>0</v>
      </c>
      <c r="W4" s="5">
        <f ca="1">com_share_state_target*'LEAP Statewide'!W4</f>
        <v>0</v>
      </c>
      <c r="Y4" s="23"/>
    </row>
    <row r="5" spans="1:25" x14ac:dyDescent="0.25">
      <c r="A5" s="1" t="s">
        <v>3</v>
      </c>
      <c r="B5" s="4">
        <f>res_share_state_target*'LEAP Statewide'!B5</f>
        <v>1.016409146207121</v>
      </c>
      <c r="C5" s="4">
        <f>res_share_state_target*'LEAP Statewide'!C5</f>
        <v>0.93634630674470498</v>
      </c>
      <c r="D5" s="4">
        <f>res_share_state_target*'LEAP Statewide'!D5</f>
        <v>0.87130363146954293</v>
      </c>
      <c r="E5" s="5">
        <f>res_share_state_target*'LEAP Statewide'!E5</f>
        <v>0.78909505426609061</v>
      </c>
      <c r="G5" s="1" t="s">
        <v>3</v>
      </c>
      <c r="H5" s="4">
        <f>res_share_state_target*'LEAP Statewide'!H5</f>
        <v>1.0194936442098608</v>
      </c>
      <c r="I5" s="4">
        <f>res_share_state_target*'LEAP Statewide'!I5</f>
        <v>0.95699903250217921</v>
      </c>
      <c r="J5" s="4">
        <f>res_share_state_target*'LEAP Statewide'!J5</f>
        <v>0.89343155192397949</v>
      </c>
      <c r="K5" s="5">
        <f>res_share_state_target*'LEAP Statewide'!K5</f>
        <v>0.85078501432088349</v>
      </c>
      <c r="L5" s="21"/>
      <c r="M5" s="1" t="s">
        <v>14</v>
      </c>
      <c r="N5" s="4">
        <f ca="1">com_share_state_target*'LEAP Statewide'!N5</f>
        <v>0</v>
      </c>
      <c r="O5" s="4">
        <f ca="1">com_share_state_target*'LEAP Statewide'!O5</f>
        <v>0</v>
      </c>
      <c r="P5" s="4">
        <f ca="1">com_share_state_target*'LEAP Statewide'!P5</f>
        <v>0</v>
      </c>
      <c r="Q5" s="5">
        <f ca="1">com_share_state_target*'LEAP Statewide'!Q5</f>
        <v>0</v>
      </c>
      <c r="R5" s="2"/>
      <c r="S5" s="1" t="s">
        <v>14</v>
      </c>
      <c r="T5" s="4">
        <f ca="1">com_share_state_target*'LEAP Statewide'!T5</f>
        <v>0</v>
      </c>
      <c r="U5" s="4">
        <f ca="1">com_share_state_target*'LEAP Statewide'!U5</f>
        <v>0</v>
      </c>
      <c r="V5" s="4">
        <f ca="1">com_share_state_target*'LEAP Statewide'!V5</f>
        <v>0</v>
      </c>
      <c r="W5" s="5">
        <f ca="1">com_share_state_target*'LEAP Statewide'!W5</f>
        <v>0</v>
      </c>
      <c r="Y5" s="92"/>
    </row>
    <row r="6" spans="1:25" x14ac:dyDescent="0.25">
      <c r="A6" s="1" t="s">
        <v>4</v>
      </c>
      <c r="B6" s="4">
        <f>res_share_state_target*'LEAP Statewide'!B6</f>
        <v>0.15422490013698234</v>
      </c>
      <c r="C6" s="4">
        <f>res_share_state_target*'LEAP Statewide'!C6</f>
        <v>0.12498922341536309</v>
      </c>
      <c r="D6" s="4">
        <f>res_share_state_target*'LEAP Statewide'!D6</f>
        <v>8.5158966597377206E-2</v>
      </c>
      <c r="E6" s="5">
        <f>res_share_state_target*'LEAP Statewide'!E6</f>
        <v>3.3661260812506581E-2</v>
      </c>
      <c r="G6" s="1" t="s">
        <v>4</v>
      </c>
      <c r="H6" s="4">
        <f>res_share_state_target*'LEAP Statewide'!H6</f>
        <v>0.15516366039868573</v>
      </c>
      <c r="I6" s="4">
        <f>res_share_state_target*'LEAP Statewide'!I6</f>
        <v>0.1274031783740289</v>
      </c>
      <c r="J6" s="4">
        <f>res_share_state_target*'LEAP Statewide'!J6</f>
        <v>7.4162060674566294E-2</v>
      </c>
      <c r="K6" s="5">
        <f>res_share_state_target*'LEAP Statewide'!K6</f>
        <v>2.400544097784334E-2</v>
      </c>
      <c r="L6" s="21"/>
      <c r="M6" s="1" t="s">
        <v>15</v>
      </c>
      <c r="N6" s="89">
        <f ca="1">com_share_state_target*'LEAP Statewide'!N6</f>
        <v>0</v>
      </c>
      <c r="O6" s="89">
        <f ca="1">com_share_state_target*'LEAP Statewide'!O6</f>
        <v>0</v>
      </c>
      <c r="P6" s="89">
        <f ca="1">com_share_state_target*'LEAP Statewide'!P6</f>
        <v>0</v>
      </c>
      <c r="Q6" s="90">
        <f ca="1">com_share_state_target*'LEAP Statewide'!Q6</f>
        <v>0</v>
      </c>
      <c r="R6" s="4"/>
      <c r="S6" s="1" t="s">
        <v>15</v>
      </c>
      <c r="T6" s="89">
        <f ca="1">com_share_state_target*'LEAP Statewide'!T6</f>
        <v>0</v>
      </c>
      <c r="U6" s="89">
        <f ca="1">com_share_state_target*'LEAP Statewide'!U6</f>
        <v>0</v>
      </c>
      <c r="V6" s="89">
        <f ca="1">com_share_state_target*'LEAP Statewide'!V6</f>
        <v>0</v>
      </c>
      <c r="W6" s="90">
        <f ca="1">com_share_state_target*'LEAP Statewide'!W6</f>
        <v>0</v>
      </c>
      <c r="Y6" s="92"/>
    </row>
    <row r="7" spans="1:25" x14ac:dyDescent="0.25">
      <c r="A7" s="1" t="s">
        <v>5</v>
      </c>
      <c r="B7" s="4">
        <f>res_share_state_target*'LEAP Statewide'!B7</f>
        <v>1.5556598622513003E-2</v>
      </c>
      <c r="C7" s="4">
        <f>res_share_state_target*'LEAP Statewide'!C7</f>
        <v>8.7572921556043015E-2</v>
      </c>
      <c r="D7" s="4">
        <f>res_share_state_target*'LEAP Statewide'!D7</f>
        <v>0.16508769745097851</v>
      </c>
      <c r="E7" s="5">
        <f>res_share_state_target*'LEAP Statewide'!E7</f>
        <v>0.22771641776747481</v>
      </c>
      <c r="G7" s="1" t="s">
        <v>5</v>
      </c>
      <c r="H7" s="4">
        <f>res_share_state_target*'LEAP Statewide'!H7</f>
        <v>2.7224047589397754E-2</v>
      </c>
      <c r="I7" s="4">
        <f>res_share_state_target*'LEAP Statewide'!I7</f>
        <v>0.15248148822239038</v>
      </c>
      <c r="J7" s="4">
        <f>res_share_state_target*'LEAP Statewide'!J7</f>
        <v>0.29450250495722891</v>
      </c>
      <c r="K7" s="5">
        <f>res_share_state_target*'LEAP Statewide'!K7</f>
        <v>0.40567854166467099</v>
      </c>
      <c r="M7" s="1" t="s">
        <v>8</v>
      </c>
      <c r="N7" s="4">
        <f ca="1">com_share_state_target*'LEAP Statewide'!N7</f>
        <v>0</v>
      </c>
      <c r="O7" s="4">
        <f ca="1">com_share_state_target*'LEAP Statewide'!O7</f>
        <v>0</v>
      </c>
      <c r="P7" s="4">
        <f ca="1">com_share_state_target*'LEAP Statewide'!P7</f>
        <v>0</v>
      </c>
      <c r="Q7" s="5">
        <f ca="1">com_share_state_target*'LEAP Statewide'!Q7</f>
        <v>0</v>
      </c>
      <c r="R7" s="4"/>
      <c r="S7" s="1" t="s">
        <v>8</v>
      </c>
      <c r="T7" s="4">
        <f ca="1">com_share_state_target*'LEAP Statewide'!T7</f>
        <v>0</v>
      </c>
      <c r="U7" s="4">
        <f ca="1">com_share_state_target*'LEAP Statewide'!U7</f>
        <v>0</v>
      </c>
      <c r="V7" s="4">
        <f ca="1">com_share_state_target*'LEAP Statewide'!V7</f>
        <v>0</v>
      </c>
      <c r="W7" s="5">
        <f ca="1">com_share_state_target*'LEAP Statewide'!W7</f>
        <v>0</v>
      </c>
      <c r="Y7" s="92"/>
    </row>
    <row r="8" spans="1:25" x14ac:dyDescent="0.25">
      <c r="A8" s="1" t="s">
        <v>6</v>
      </c>
      <c r="B8" s="4">
        <f>res_share_state_target*'LEAP Statewide'!B8</f>
        <v>1.7434119145919745E-3</v>
      </c>
      <c r="C8" s="4">
        <f>res_share_state_target*'LEAP Statewide'!C8</f>
        <v>1.2874426446217658E-2</v>
      </c>
      <c r="D8" s="4">
        <f>res_share_state_target*'LEAP Statewide'!D8</f>
        <v>4.3853515082428893E-2</v>
      </c>
      <c r="E8" s="5">
        <f>res_share_state_target*'LEAP Statewide'!E8</f>
        <v>9.1059745385226973E-2</v>
      </c>
      <c r="G8" s="1" t="s">
        <v>6</v>
      </c>
      <c r="H8" s="4">
        <f>res_share_state_target*'LEAP Statewide'!H8</f>
        <v>7.5100820936269668E-3</v>
      </c>
      <c r="I8" s="4">
        <f>res_share_state_target*'LEAP Statewide'!I8</f>
        <v>4.6669795867539006E-2</v>
      </c>
      <c r="J8" s="4">
        <f>res_share_state_target*'LEAP Statewide'!J8</f>
        <v>0.10152021687277882</v>
      </c>
      <c r="K8" s="5">
        <f>res_share_state_target*'LEAP Statewide'!K8</f>
        <v>0.16844041267134768</v>
      </c>
      <c r="M8" s="1" t="s">
        <v>9</v>
      </c>
      <c r="N8" s="4">
        <f ca="1">com_share_state_target*'LEAP Statewide'!N8</f>
        <v>0</v>
      </c>
      <c r="O8" s="4">
        <f ca="1">com_share_state_target*'LEAP Statewide'!O8</f>
        <v>0</v>
      </c>
      <c r="P8" s="4">
        <f ca="1">com_share_state_target*'LEAP Statewide'!P8</f>
        <v>0</v>
      </c>
      <c r="Q8" s="5">
        <f ca="1">com_share_state_target*'LEAP Statewide'!Q8</f>
        <v>0</v>
      </c>
      <c r="R8" s="4"/>
      <c r="S8" s="1" t="s">
        <v>9</v>
      </c>
      <c r="T8" s="4">
        <f ca="1">com_share_state_target*'LEAP Statewide'!T8</f>
        <v>0</v>
      </c>
      <c r="U8" s="4">
        <f ca="1">com_share_state_target*'LEAP Statewide'!U8</f>
        <v>0</v>
      </c>
      <c r="V8" s="4">
        <f ca="1">com_share_state_target*'LEAP Statewide'!V8</f>
        <v>0</v>
      </c>
      <c r="W8" s="5">
        <f ca="1">com_share_state_target*'LEAP Statewide'!W8</f>
        <v>0</v>
      </c>
      <c r="Y8" s="23"/>
    </row>
    <row r="9" spans="1:25" x14ac:dyDescent="0.25">
      <c r="A9" s="1" t="s">
        <v>7</v>
      </c>
      <c r="B9" s="4">
        <f>res_share_state_target*'LEAP Statewide'!B9</f>
        <v>0.13048767637676856</v>
      </c>
      <c r="C9" s="4">
        <f>res_share_state_target*'LEAP Statewide'!C9</f>
        <v>0.10473882348433323</v>
      </c>
      <c r="D9" s="4">
        <f>res_share_state_target*'LEAP Statewide'!D9</f>
        <v>7.992873085360129E-2</v>
      </c>
      <c r="E9" s="5">
        <f>res_share_state_target*'LEAP Statewide'!E9</f>
        <v>3.9562039600356341E-2</v>
      </c>
      <c r="G9" s="1" t="s">
        <v>7</v>
      </c>
      <c r="H9" s="4">
        <f>res_share_state_target*'LEAP Statewide'!H9</f>
        <v>0.12807372141810272</v>
      </c>
      <c r="I9" s="4">
        <f>res_share_state_target*'LEAP Statewide'!I9</f>
        <v>9.2266722864559877E-2</v>
      </c>
      <c r="J9" s="4">
        <f>res_share_state_target*'LEAP Statewide'!J9</f>
        <v>5.7264375963905621E-2</v>
      </c>
      <c r="K9" s="5">
        <f>res_share_state_target*'LEAP Statewide'!K9</f>
        <v>0</v>
      </c>
      <c r="L9" s="21"/>
      <c r="M9" s="1" t="s">
        <v>16</v>
      </c>
      <c r="N9" s="4">
        <f ca="1">com_share_state_target*'LEAP Statewide'!N9</f>
        <v>0</v>
      </c>
      <c r="O9" s="4">
        <f ca="1">com_share_state_target*'LEAP Statewide'!O9</f>
        <v>0</v>
      </c>
      <c r="P9" s="4">
        <f ca="1">com_share_state_target*'LEAP Statewide'!P9</f>
        <v>0</v>
      </c>
      <c r="Q9" s="5">
        <f ca="1">com_share_state_target*'LEAP Statewide'!Q9</f>
        <v>0</v>
      </c>
      <c r="R9" s="2"/>
      <c r="S9" s="1" t="s">
        <v>16</v>
      </c>
      <c r="T9" s="4">
        <f ca="1">com_share_state_target*'LEAP Statewide'!T9</f>
        <v>0</v>
      </c>
      <c r="U9" s="4">
        <f ca="1">com_share_state_target*'LEAP Statewide'!U9</f>
        <v>0</v>
      </c>
      <c r="V9" s="4">
        <f ca="1">com_share_state_target*'LEAP Statewide'!V9</f>
        <v>0</v>
      </c>
      <c r="W9" s="5">
        <f ca="1">com_share_state_target*'LEAP Statewide'!W9</f>
        <v>0</v>
      </c>
      <c r="Y9" s="23"/>
    </row>
    <row r="10" spans="1:25" x14ac:dyDescent="0.25">
      <c r="A10" s="1" t="s">
        <v>8</v>
      </c>
      <c r="B10" s="4">
        <f>res_share_state_target*'LEAP Statewide'!B10</f>
        <v>0.75275162127728867</v>
      </c>
      <c r="C10" s="4">
        <f>res_share_state_target*'LEAP Statewide'!C10</f>
        <v>0.60308641384000838</v>
      </c>
      <c r="D10" s="4">
        <f>res_share_state_target*'LEAP Statewide'!D10</f>
        <v>0.44550879848265684</v>
      </c>
      <c r="E10" s="5">
        <f>res_share_state_target*'LEAP Statewide'!E10</f>
        <v>0.16079622196890594</v>
      </c>
      <c r="G10" s="1" t="s">
        <v>8</v>
      </c>
      <c r="H10" s="4">
        <f>res_share_state_target*'LEAP Statewide'!H10</f>
        <v>0.743900453095514</v>
      </c>
      <c r="I10" s="4">
        <f>res_share_state_target*'LEAP Statewide'!I10</f>
        <v>0.56835228415698369</v>
      </c>
      <c r="J10" s="4">
        <f>res_share_state_target*'LEAP Statewide'!J10</f>
        <v>0.39776613374459968</v>
      </c>
      <c r="K10" s="5">
        <f>res_share_state_target*'LEAP Statewide'!K10</f>
        <v>0.13424271742358201</v>
      </c>
      <c r="L10" s="21"/>
      <c r="M10" s="1" t="s">
        <v>17</v>
      </c>
      <c r="N10" s="4">
        <f ca="1">com_share_state_target*'LEAP Statewide'!N10</f>
        <v>0</v>
      </c>
      <c r="O10" s="4">
        <f ca="1">com_share_state_target*'LEAP Statewide'!O10</f>
        <v>0</v>
      </c>
      <c r="P10" s="4">
        <f ca="1">com_share_state_target*'LEAP Statewide'!P10</f>
        <v>0</v>
      </c>
      <c r="Q10" s="5">
        <f ca="1">com_share_state_target*'LEAP Statewide'!Q10</f>
        <v>0</v>
      </c>
      <c r="R10" s="4"/>
      <c r="S10" s="1" t="s">
        <v>17</v>
      </c>
      <c r="T10" s="4">
        <f ca="1">com_share_state_target*'LEAP Statewide'!T10</f>
        <v>0</v>
      </c>
      <c r="U10" s="4">
        <f ca="1">com_share_state_target*'LEAP Statewide'!U10</f>
        <v>0</v>
      </c>
      <c r="V10" s="4">
        <f ca="1">com_share_state_target*'LEAP Statewide'!V10</f>
        <v>0</v>
      </c>
      <c r="W10" s="5">
        <f ca="1">com_share_state_target*'LEAP Statewide'!W10</f>
        <v>0</v>
      </c>
      <c r="Y10" s="23"/>
    </row>
    <row r="11" spans="1:25" x14ac:dyDescent="0.25">
      <c r="A11" s="1" t="s">
        <v>9</v>
      </c>
      <c r="B11" s="4">
        <f>res_share_state_target*'LEAP Statewide'!B11</f>
        <v>0.64989031831636213</v>
      </c>
      <c r="C11" s="4">
        <f>res_share_state_target*'LEAP Statewide'!C11</f>
        <v>0.84354314944488606</v>
      </c>
      <c r="D11" s="4">
        <f>res_share_state_target*'LEAP Statewide'!D11</f>
        <v>1.0841339936585785</v>
      </c>
      <c r="E11" s="5">
        <f>res_share_state_target*'LEAP Statewide'!E11</f>
        <v>1.5878459283668445</v>
      </c>
      <c r="G11" s="1" t="s">
        <v>9</v>
      </c>
      <c r="H11" s="4">
        <f>res_share_state_target*'LEAP Statewide'!H11</f>
        <v>0.5918212906995679</v>
      </c>
      <c r="I11" s="4">
        <f>res_share_state_target*'LEAP Statewide'!I11</f>
        <v>0.4707212169398331</v>
      </c>
      <c r="J11" s="4">
        <f>res_share_state_target*'LEAP Statewide'!J11</f>
        <v>0.26245054745049951</v>
      </c>
      <c r="K11" s="5">
        <f>res_share_state_target*'LEAP Statewide'!K11</f>
        <v>3.2588391941988447E-2</v>
      </c>
      <c r="L11" s="21"/>
      <c r="M11" s="7" t="s">
        <v>12</v>
      </c>
      <c r="N11" s="8">
        <f ca="1">SUM(N4:N10)</f>
        <v>0</v>
      </c>
      <c r="O11" s="8">
        <f ca="1">SUM(O4:O10)</f>
        <v>0</v>
      </c>
      <c r="P11" s="8">
        <f ca="1">SUM(P4:P10)</f>
        <v>0</v>
      </c>
      <c r="Q11" s="9">
        <f ca="1">SUM(Q4:Q10)</f>
        <v>0</v>
      </c>
      <c r="R11" s="4"/>
      <c r="S11" s="7" t="s">
        <v>12</v>
      </c>
      <c r="T11" s="8">
        <f ca="1">SUM(T4:T10)</f>
        <v>0</v>
      </c>
      <c r="U11" s="8">
        <f ca="1">SUM(U4:U10)</f>
        <v>0</v>
      </c>
      <c r="V11" s="8">
        <f ca="1">SUM(V4:V10)</f>
        <v>0</v>
      </c>
      <c r="W11" s="9">
        <f ca="1">SUM(W4:W10)</f>
        <v>0</v>
      </c>
    </row>
    <row r="12" spans="1:25" x14ac:dyDescent="0.25">
      <c r="A12" s="1" t="s">
        <v>10</v>
      </c>
      <c r="B12" s="4">
        <f>res_share_state_target*'LEAP Statewide'!B12</f>
        <v>1.3919132508884693</v>
      </c>
      <c r="C12" s="4">
        <f>res_share_state_target*'LEAP Statewide'!C12</f>
        <v>1.0935215962756122</v>
      </c>
      <c r="D12" s="4">
        <f>res_share_state_target*'LEAP Statewide'!D12</f>
        <v>0.72083377237937407</v>
      </c>
      <c r="E12" s="5">
        <f>res_share_state_target*'LEAP Statewide'!E12</f>
        <v>0.19298228808445009</v>
      </c>
      <c r="G12" s="1" t="s">
        <v>10</v>
      </c>
      <c r="H12" s="4">
        <f>res_share_state_target*'LEAP Statewide'!H12</f>
        <v>1.3646892032990716</v>
      </c>
      <c r="I12" s="4">
        <f>res_share_state_target*'LEAP Statewide'!I12</f>
        <v>0.97791997547728282</v>
      </c>
      <c r="J12" s="4">
        <f>res_share_state_target*'LEAP Statewide'!J12</f>
        <v>0.6026840880135641</v>
      </c>
      <c r="K12" s="5">
        <f>res_share_state_target*'LEAP Statewide'!K12</f>
        <v>0</v>
      </c>
      <c r="L12" s="21"/>
    </row>
    <row r="13" spans="1:25" x14ac:dyDescent="0.25">
      <c r="A13" s="1" t="s">
        <v>11</v>
      </c>
      <c r="B13" s="4">
        <f>res_share_state_target*'LEAP Statewide'!B13</f>
        <v>8.6365944076710111E-2</v>
      </c>
      <c r="C13" s="4">
        <f>res_share_state_target*'LEAP Statewide'!C13</f>
        <v>0.11439464331899647</v>
      </c>
      <c r="D13" s="4">
        <f>res_share_state_target*'LEAP Statewide'!D13</f>
        <v>0.14121636508194993</v>
      </c>
      <c r="E13" s="5">
        <f>res_share_state_target*'LEAP Statewide'!E13</f>
        <v>0.182655925205713</v>
      </c>
      <c r="G13" s="1" t="s">
        <v>11</v>
      </c>
      <c r="H13" s="4">
        <f>res_share_state_target*'LEAP Statewide'!H13</f>
        <v>9.9374479131742535E-2</v>
      </c>
      <c r="I13" s="4">
        <f>res_share_state_target*'LEAP Statewide'!I13</f>
        <v>0.18185127355282441</v>
      </c>
      <c r="J13" s="4">
        <f>res_share_state_target*'LEAP Statewide'!J13</f>
        <v>0.24501642830457979</v>
      </c>
      <c r="K13" s="5">
        <f>res_share_state_target*'LEAP Statewide'!K13</f>
        <v>0.30496297644478076</v>
      </c>
      <c r="L13" s="21"/>
      <c r="N13" s="21"/>
      <c r="O13" s="21"/>
      <c r="P13" s="21"/>
      <c r="Q13" s="21"/>
      <c r="T13" s="21"/>
      <c r="U13" s="21"/>
      <c r="V13" s="21"/>
      <c r="W13" s="21"/>
    </row>
    <row r="14" spans="1:25" x14ac:dyDescent="0.25">
      <c r="A14" s="7" t="s">
        <v>12</v>
      </c>
      <c r="B14" s="8">
        <f>SUM(B4:B13)</f>
        <v>4.1993428678168074</v>
      </c>
      <c r="C14" s="8">
        <f>SUM(C4:C13)</f>
        <v>3.9210675045261651</v>
      </c>
      <c r="D14" s="8">
        <f>SUM(D4:D13)</f>
        <v>3.6370254710564884</v>
      </c>
      <c r="E14" s="9">
        <f>SUM(E4:E13)</f>
        <v>3.3053748814575687</v>
      </c>
      <c r="G14" s="7" t="s">
        <v>12</v>
      </c>
      <c r="H14" s="8">
        <f>SUM(H4:H13)</f>
        <v>4.1487839222936396</v>
      </c>
      <c r="I14" s="8">
        <f>SUM(I4:I13)</f>
        <v>3.6444014445413</v>
      </c>
      <c r="J14" s="8">
        <f>SUM(J4:J13)</f>
        <v>3.0603584531529893</v>
      </c>
      <c r="K14" s="9">
        <f>SUM(K4:K13)</f>
        <v>2.1629036429645665</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3.7550410468134836</v>
      </c>
      <c r="C24" s="4">
        <f>res_share_state_target*'LEAP Statewide'!C24*1000</f>
        <v>3.0844980027396467</v>
      </c>
      <c r="D24" s="4">
        <f>res_share_state_target*'LEAP Statewide'!D24*1000</f>
        <v>2.682172176295345</v>
      </c>
      <c r="E24" s="5">
        <f>res_share_state_target*'LEAP Statewide'!E24*1000</f>
        <v>2.2798463498510433</v>
      </c>
      <c r="G24" s="1" t="s">
        <v>21</v>
      </c>
      <c r="H24" s="4">
        <f>res_share_state_target*'LEAP Statewide'!H24*1000</f>
        <v>3.7550410468134836</v>
      </c>
      <c r="I24" s="4">
        <f>res_share_state_target*'LEAP Statewide'!I24*1000</f>
        <v>3.0844980027396467</v>
      </c>
      <c r="J24" s="4">
        <f>res_share_state_target*'LEAP Statewide'!J24*1000</f>
        <v>1.4751946969624399</v>
      </c>
      <c r="K24" s="5">
        <f>res_share_state_target*'LEAP Statewide'!K24*1000</f>
        <v>0.13410860881476727</v>
      </c>
    </row>
    <row r="25" spans="1:16" x14ac:dyDescent="0.25">
      <c r="A25" s="1" t="s">
        <v>22</v>
      </c>
      <c r="B25" s="4">
        <f>res_share_state_target*'LEAP Statewide'!B25*1000</f>
        <v>0.53643443525906909</v>
      </c>
      <c r="C25" s="4">
        <f>res_share_state_target*'LEAP Statewide'!C25*1000</f>
        <v>0.40232582644430182</v>
      </c>
      <c r="D25" s="4">
        <f>res_share_state_target*'LEAP Statewide'!D25*1000</f>
        <v>0.40232582644430182</v>
      </c>
      <c r="E25" s="5">
        <f>res_share_state_target*'LEAP Statewide'!E25*1000</f>
        <v>0.26821721762953454</v>
      </c>
      <c r="G25" s="1" t="s">
        <v>22</v>
      </c>
      <c r="H25" s="4">
        <f>res_share_state_target*'LEAP Statewide'!H25*1000</f>
        <v>0.53643443525906909</v>
      </c>
      <c r="I25" s="4">
        <f>res_share_state_target*'LEAP Statewide'!I25*1000</f>
        <v>0.40232582644430182</v>
      </c>
      <c r="J25" s="4">
        <f>res_share_state_target*'LEAP Statewide'!J25*1000</f>
        <v>0.13410860881476727</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0.26821721762953454</v>
      </c>
      <c r="K26" s="5">
        <f>res_share_state_target*'LEAP Statewide'!K26*1000</f>
        <v>0.67054304407383625</v>
      </c>
    </row>
    <row r="27" spans="1:16" x14ac:dyDescent="0.25">
      <c r="A27" s="1" t="s">
        <v>20</v>
      </c>
      <c r="B27" s="4">
        <f>res_share_state_target*'LEAP Statewide'!B27*1000</f>
        <v>0.13410860881476727</v>
      </c>
      <c r="C27" s="4">
        <f>res_share_state_target*'LEAP Statewide'!C27*1000</f>
        <v>0.13410860881476727</v>
      </c>
      <c r="D27" s="4">
        <f>res_share_state_target*'LEAP Statewide'!D27*1000</f>
        <v>0.13410860881476727</v>
      </c>
      <c r="E27" s="5">
        <f>res_share_state_target*'LEAP Statewide'!E27*1000</f>
        <v>0.13410860881476727</v>
      </c>
      <c r="G27" s="1" t="s">
        <v>20</v>
      </c>
      <c r="H27" s="4">
        <f>res_share_state_target*'LEAP Statewide'!H27*1000</f>
        <v>0.13410860881476727</v>
      </c>
      <c r="I27" s="4">
        <f>res_share_state_target*'LEAP Statewide'!I27*1000</f>
        <v>0.13410860881476727</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0.13410860881476727</v>
      </c>
      <c r="K28" s="5">
        <f>res_share_state_target*'LEAP Statewide'!K28*1000</f>
        <v>0.13410860881476727</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4.4255840908873196</v>
      </c>
      <c r="C30" s="8">
        <f>SUM(C24:C29)</f>
        <v>3.6209324379987158</v>
      </c>
      <c r="D30" s="8">
        <f>SUM(D24:D29)</f>
        <v>3.2186066115544141</v>
      </c>
      <c r="E30" s="9">
        <f>SUM(E24:E29)</f>
        <v>2.6821721762953454</v>
      </c>
      <c r="G30" s="7" t="s">
        <v>12</v>
      </c>
      <c r="H30" s="8">
        <f>SUM(H24:H29)</f>
        <v>4.4255840908873196</v>
      </c>
      <c r="I30" s="8">
        <f>SUM(I24:I29)</f>
        <v>3.6209324379987158</v>
      </c>
      <c r="J30" s="8">
        <f>SUM(J24:J29)</f>
        <v>2.011629132221509</v>
      </c>
      <c r="K30" s="9">
        <f>SUM(K24:K29)</f>
        <v>0.93876026170337079</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1.3813186707921027E-2</v>
      </c>
      <c r="C49" s="20">
        <f>res_share_state_target*'LEAP Statewide'!C49</f>
        <v>6.6115544145680258E-2</v>
      </c>
      <c r="D49" s="20">
        <f>res_share_state_target*'LEAP Statewide'!D49</f>
        <v>0.11466286053662601</v>
      </c>
      <c r="E49" s="20">
        <f>res_share_state_target*'LEAP Statewide'!E49</f>
        <v>0.18909313842882183</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1.8232558139534883E-2</v>
      </c>
      <c r="I4" s="4">
        <f>res_share_region_target*'LEAP Scenario'!I4</f>
        <v>6.5116279069767441E-2</v>
      </c>
      <c r="J4" s="4">
        <f>res_share_region_target*'LEAP Scenario'!J4</f>
        <v>0.10679069767441859</v>
      </c>
      <c r="K4" s="5">
        <f>res_share_region_target*'LEAP Scenario'!K4</f>
        <v>0.1653953488372093</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v>
      </c>
      <c r="U4" s="4">
        <f>com_share_region_target*'LEAP Scenario'!U4</f>
        <v>0</v>
      </c>
      <c r="V4" s="4">
        <f>com_share_region_target*'LEAP Scenario'!V4</f>
        <v>0</v>
      </c>
      <c r="W4" s="5">
        <f>com_share_region_target*'LEAP Scenario'!W4</f>
        <v>0</v>
      </c>
      <c r="Y4" s="23"/>
    </row>
    <row r="5" spans="1:25" x14ac:dyDescent="0.25">
      <c r="A5" s="1" t="s">
        <v>3</v>
      </c>
      <c r="B5" s="4">
        <f>res_share_region_target*'LEAP Scenario'!B5</f>
        <v>2.4613953488372093</v>
      </c>
      <c r="C5" s="4">
        <f>res_share_region_target*'LEAP Scenario'!C5</f>
        <v>2.0420465116279067</v>
      </c>
      <c r="D5" s="4">
        <f>res_share_region_target*'LEAP Scenario'!D5</f>
        <v>1.6943255813953488</v>
      </c>
      <c r="E5" s="5">
        <f>res_share_region_target*'LEAP Scenario'!E5</f>
        <v>1.2906046511627907</v>
      </c>
      <c r="G5" s="1" t="s">
        <v>3</v>
      </c>
      <c r="H5" s="4">
        <f>res_share_region_target*'LEAP Scenario'!H5</f>
        <v>2.4210232558139535</v>
      </c>
      <c r="I5" s="4">
        <f>res_share_region_target*'LEAP Scenario'!I5</f>
        <v>1.9144186046511626</v>
      </c>
      <c r="J5" s="4">
        <f>res_share_region_target*'LEAP Scenario'!J5</f>
        <v>1.4690232558139533</v>
      </c>
      <c r="K5" s="5">
        <f>res_share_region_target*'LEAP Scenario'!K5</f>
        <v>0.97674418604651159</v>
      </c>
      <c r="L5" s="21"/>
      <c r="M5" s="1" t="s">
        <v>14</v>
      </c>
      <c r="N5" s="4">
        <f>com_share_region_target*'LEAP Scenario'!N5</f>
        <v>0</v>
      </c>
      <c r="O5" s="4">
        <f>com_share_region_target*'LEAP Scenario'!O5</f>
        <v>0</v>
      </c>
      <c r="P5" s="4">
        <f>com_share_region_target*'LEAP Scenario'!P5</f>
        <v>0</v>
      </c>
      <c r="Q5" s="5">
        <f>com_share_region_target*'LEAP Scenario'!Q5</f>
        <v>0</v>
      </c>
      <c r="R5" s="2"/>
      <c r="S5" s="1" t="s">
        <v>14</v>
      </c>
      <c r="T5" s="4">
        <f>com_share_region_target*'LEAP Scenario'!T5</f>
        <v>0</v>
      </c>
      <c r="U5" s="4">
        <f>com_share_region_target*'LEAP Scenario'!U5</f>
        <v>0</v>
      </c>
      <c r="V5" s="4">
        <f>com_share_region_target*'LEAP Scenario'!V5</f>
        <v>0</v>
      </c>
      <c r="W5" s="5">
        <f>com_share_region_target*'LEAP Scenario'!W5</f>
        <v>0</v>
      </c>
      <c r="Y5" s="92"/>
    </row>
    <row r="6" spans="1:25" x14ac:dyDescent="0.25">
      <c r="A6" s="1" t="s">
        <v>4</v>
      </c>
      <c r="B6" s="4">
        <f>res_share_region_target*'LEAP Scenario'!B6</f>
        <v>0.24874418604651161</v>
      </c>
      <c r="C6" s="4">
        <f>res_share_region_target*'LEAP Scenario'!C6</f>
        <v>0.18493023255813953</v>
      </c>
      <c r="D6" s="4">
        <f>res_share_region_target*'LEAP Scenario'!D6</f>
        <v>0.10679069767441859</v>
      </c>
      <c r="E6" s="5">
        <f>res_share_region_target*'LEAP Scenario'!E6</f>
        <v>3.1255813953488372E-2</v>
      </c>
      <c r="G6" s="1" t="s">
        <v>4</v>
      </c>
      <c r="H6" s="4">
        <f>res_share_region_target*'LEAP Scenario'!H6</f>
        <v>0.26958139534883718</v>
      </c>
      <c r="I6" s="4">
        <f>res_share_region_target*'LEAP Scenario'!I6</f>
        <v>0.24353488372093021</v>
      </c>
      <c r="J6" s="4">
        <f>res_share_region_target*'LEAP Scenario'!J6</f>
        <v>0.13283720930232557</v>
      </c>
      <c r="K6" s="5">
        <f>res_share_region_target*'LEAP Scenario'!K6</f>
        <v>4.0372093023255812E-2</v>
      </c>
      <c r="L6" s="21"/>
      <c r="M6" s="1" t="s">
        <v>15</v>
      </c>
      <c r="N6" s="89">
        <f>com_share_region_target*'LEAP Scenario'!N6</f>
        <v>0</v>
      </c>
      <c r="O6" s="89">
        <f>com_share_region_target*'LEAP Scenario'!O6</f>
        <v>0</v>
      </c>
      <c r="P6" s="89">
        <f>com_share_region_target*'LEAP Scenario'!P6</f>
        <v>0</v>
      </c>
      <c r="Q6" s="90">
        <f>com_share_region_target*'LEAP Scenario'!Q6</f>
        <v>0</v>
      </c>
      <c r="R6" s="4"/>
      <c r="S6" s="1" t="s">
        <v>15</v>
      </c>
      <c r="T6" s="89">
        <f>com_share_region_target*'LEAP Scenario'!T6</f>
        <v>0</v>
      </c>
      <c r="U6" s="89">
        <f>com_share_region_target*'LEAP Scenario'!U6</f>
        <v>0</v>
      </c>
      <c r="V6" s="89">
        <f>com_share_region_target*'LEAP Scenario'!V6</f>
        <v>0</v>
      </c>
      <c r="W6" s="90">
        <f>com_share_region_target*'LEAP Scenario'!W6</f>
        <v>0</v>
      </c>
      <c r="Y6" s="92"/>
    </row>
    <row r="7" spans="1:25" x14ac:dyDescent="0.25">
      <c r="A7" s="1" t="s">
        <v>5</v>
      </c>
      <c r="B7" s="4">
        <f>res_share_region_target*'LEAP Scenario'!B7</f>
        <v>3.3860465116279069E-2</v>
      </c>
      <c r="C7" s="4">
        <f>res_share_region_target*'LEAP Scenario'!C7</f>
        <v>0.16018604651162791</v>
      </c>
      <c r="D7" s="4">
        <f>res_share_region_target*'LEAP Scenario'!D7</f>
        <v>0.24874418604651161</v>
      </c>
      <c r="E7" s="5">
        <f>res_share_region_target*'LEAP Scenario'!E7</f>
        <v>0.31255813953488371</v>
      </c>
      <c r="G7" s="1" t="s">
        <v>5</v>
      </c>
      <c r="H7" s="4">
        <f>res_share_region_target*'LEAP Scenario'!H7</f>
        <v>2.995348837209302E-2</v>
      </c>
      <c r="I7" s="4">
        <f>res_share_region_target*'LEAP Scenario'!I7</f>
        <v>0.14325581395348835</v>
      </c>
      <c r="J7" s="4">
        <f>res_share_region_target*'LEAP Scenario'!J7</f>
        <v>0.2930232558139535</v>
      </c>
      <c r="K7" s="5">
        <f>res_share_region_target*'LEAP Scenario'!K7</f>
        <v>0.35162790697674418</v>
      </c>
      <c r="M7" s="1" t="s">
        <v>8</v>
      </c>
      <c r="N7" s="4">
        <f>com_share_region_target*'LEAP Scenario'!N7</f>
        <v>0</v>
      </c>
      <c r="O7" s="4">
        <f>com_share_region_target*'LEAP Scenario'!O7</f>
        <v>0</v>
      </c>
      <c r="P7" s="4">
        <f>com_share_region_target*'LEAP Scenario'!P7</f>
        <v>0</v>
      </c>
      <c r="Q7" s="5">
        <f>com_share_region_target*'LEAP Scenario'!Q7</f>
        <v>0</v>
      </c>
      <c r="R7" s="4"/>
      <c r="S7" s="1" t="s">
        <v>8</v>
      </c>
      <c r="T7" s="4">
        <f>com_share_region_target*'LEAP Scenario'!T7</f>
        <v>0</v>
      </c>
      <c r="U7" s="4">
        <f>com_share_region_target*'LEAP Scenario'!U7</f>
        <v>0</v>
      </c>
      <c r="V7" s="4">
        <f>com_share_region_target*'LEAP Scenario'!V7</f>
        <v>0</v>
      </c>
      <c r="W7" s="5">
        <f>com_share_region_target*'LEAP Scenario'!W7</f>
        <v>0</v>
      </c>
      <c r="Y7" s="92"/>
    </row>
    <row r="8" spans="1:25" x14ac:dyDescent="0.25">
      <c r="A8" s="1" t="s">
        <v>6</v>
      </c>
      <c r="B8" s="4">
        <f>res_share_region_target*'LEAP Scenario'!B8</f>
        <v>3.9069767441860465E-3</v>
      </c>
      <c r="C8" s="4">
        <f>res_share_region_target*'LEAP Scenario'!C8</f>
        <v>1.6930232558139535E-2</v>
      </c>
      <c r="D8" s="4">
        <f>res_share_region_target*'LEAP Scenario'!D8</f>
        <v>6.1209302325581388E-2</v>
      </c>
      <c r="E8" s="5">
        <f>res_share_region_target*'LEAP Scenario'!E8</f>
        <v>0.14716279069767441</v>
      </c>
      <c r="G8" s="1" t="s">
        <v>6</v>
      </c>
      <c r="H8" s="4">
        <f>res_share_region_target*'LEAP Scenario'!H8</f>
        <v>2.083720930232558E-2</v>
      </c>
      <c r="I8" s="4">
        <f>res_share_region_target*'LEAP Scenario'!I8</f>
        <v>5.990697674418604E-2</v>
      </c>
      <c r="J8" s="4">
        <f>res_share_region_target*'LEAP Scenario'!J8</f>
        <v>0.11720930232558138</v>
      </c>
      <c r="K8" s="5">
        <f>res_share_region_target*'LEAP Scenario'!K8</f>
        <v>0.16409302325581393</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0.16799999999999998</v>
      </c>
      <c r="C9" s="4">
        <f>res_share_region_target*'LEAP Scenario'!C9</f>
        <v>0.21358139534883719</v>
      </c>
      <c r="D9" s="4">
        <f>res_share_region_target*'LEAP Scenario'!D9</f>
        <v>0.26176744186046508</v>
      </c>
      <c r="E9" s="5">
        <f>res_share_region_target*'LEAP Scenario'!E9</f>
        <v>6.6418604651162783E-2</v>
      </c>
      <c r="G9" s="1" t="s">
        <v>7</v>
      </c>
      <c r="H9" s="4">
        <f>res_share_region_target*'LEAP Scenario'!H9</f>
        <v>0.15627906976744185</v>
      </c>
      <c r="I9" s="4">
        <f>res_share_region_target*'LEAP Scenario'!I9</f>
        <v>0.18102325581395348</v>
      </c>
      <c r="J9" s="4">
        <f>res_share_region_target*'LEAP Scenario'!J9</f>
        <v>0.20967441860465116</v>
      </c>
      <c r="K9" s="5">
        <f>res_share_region_target*'LEAP Scenario'!K9</f>
        <v>0</v>
      </c>
      <c r="L9" s="21"/>
      <c r="M9" s="1" t="s">
        <v>16</v>
      </c>
      <c r="N9" s="4">
        <f>com_share_region_target*'LEAP Scenario'!N9</f>
        <v>0</v>
      </c>
      <c r="O9" s="4">
        <f>com_share_region_target*'LEAP Scenario'!O9</f>
        <v>0</v>
      </c>
      <c r="P9" s="4">
        <f>com_share_region_target*'LEAP Scenario'!P9</f>
        <v>0</v>
      </c>
      <c r="Q9" s="5">
        <f>com_share_region_target*'LEAP Scenario'!Q9</f>
        <v>0</v>
      </c>
      <c r="R9" s="2"/>
      <c r="S9" s="1" t="s">
        <v>16</v>
      </c>
      <c r="T9" s="4">
        <f>com_share_region_target*'LEAP Scenario'!T9</f>
        <v>0</v>
      </c>
      <c r="U9" s="4">
        <f>com_share_region_target*'LEAP Scenario'!U9</f>
        <v>0</v>
      </c>
      <c r="V9" s="4">
        <f>com_share_region_target*'LEAP Scenario'!V9</f>
        <v>0</v>
      </c>
      <c r="W9" s="5">
        <f>com_share_region_target*'LEAP Scenario'!W9</f>
        <v>0</v>
      </c>
      <c r="Y9" s="23"/>
    </row>
    <row r="10" spans="1:25" x14ac:dyDescent="0.25">
      <c r="A10" s="1" t="s">
        <v>8</v>
      </c>
      <c r="B10" s="4">
        <f>res_share_region_target*'LEAP Scenario'!B10</f>
        <v>0.94158139534883711</v>
      </c>
      <c r="C10" s="4">
        <f>res_share_region_target*'LEAP Scenario'!C10</f>
        <v>0.76837209302325582</v>
      </c>
      <c r="D10" s="4">
        <f>res_share_region_target*'LEAP Scenario'!D10</f>
        <v>0.61469767441860457</v>
      </c>
      <c r="E10" s="5">
        <f>res_share_region_target*'LEAP Scenario'!E10</f>
        <v>0.41153488372093022</v>
      </c>
      <c r="G10" s="1" t="s">
        <v>8</v>
      </c>
      <c r="H10" s="4">
        <f>res_share_region_target*'LEAP Scenario'!H10</f>
        <v>0.92074418604651154</v>
      </c>
      <c r="I10" s="4">
        <f>res_share_region_target*'LEAP Scenario'!I10</f>
        <v>0.72018604651162788</v>
      </c>
      <c r="J10" s="4">
        <f>res_share_region_target*'LEAP Scenario'!J10</f>
        <v>0.46102325581395348</v>
      </c>
      <c r="K10" s="5">
        <f>res_share_region_target*'LEAP Scenario'!K10</f>
        <v>0.16148837209302325</v>
      </c>
      <c r="L10" s="21"/>
      <c r="M10" s="1" t="s">
        <v>17</v>
      </c>
      <c r="N10" s="4">
        <f>com_share_region_target*'LEAP Scenario'!N10</f>
        <v>0</v>
      </c>
      <c r="O10" s="4">
        <f>com_share_region_target*'LEAP Scenario'!O10</f>
        <v>0</v>
      </c>
      <c r="P10" s="4">
        <f>com_share_region_target*'LEAP Scenario'!P10</f>
        <v>0</v>
      </c>
      <c r="Q10" s="5">
        <f>com_share_region_target*'LEAP Scenario'!Q10</f>
        <v>0</v>
      </c>
      <c r="R10" s="4"/>
      <c r="S10" s="1" t="s">
        <v>17</v>
      </c>
      <c r="T10" s="4">
        <f>com_share_region_target*'LEAP Scenario'!T10</f>
        <v>0</v>
      </c>
      <c r="U10" s="4">
        <f>com_share_region_target*'LEAP Scenario'!U10</f>
        <v>0</v>
      </c>
      <c r="V10" s="4">
        <f>com_share_region_target*'LEAP Scenario'!V10</f>
        <v>0</v>
      </c>
      <c r="W10" s="5">
        <f>com_share_region_target*'LEAP Scenario'!W10</f>
        <v>0</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0</v>
      </c>
      <c r="O11" s="8">
        <f>SUM(O4:O10)</f>
        <v>0</v>
      </c>
      <c r="P11" s="8">
        <f>SUM(P4:P10)</f>
        <v>0</v>
      </c>
      <c r="Q11" s="9">
        <f>SUM(Q4:Q10)</f>
        <v>0</v>
      </c>
      <c r="R11" s="4"/>
      <c r="S11" s="7" t="s">
        <v>12</v>
      </c>
      <c r="T11" s="8">
        <f>SUM(T4:T10)</f>
        <v>0</v>
      </c>
      <c r="U11" s="8">
        <f>SUM(U4:U10)</f>
        <v>0</v>
      </c>
      <c r="V11" s="8">
        <f>SUM(V4:V10)</f>
        <v>0</v>
      </c>
      <c r="W11" s="9">
        <f>SUM(W4:W10)</f>
        <v>0</v>
      </c>
    </row>
    <row r="12" spans="1:25" x14ac:dyDescent="0.25">
      <c r="A12" s="1" t="s">
        <v>10</v>
      </c>
      <c r="B12" s="4">
        <f>res_share_region_target*'LEAP Scenario'!B12</f>
        <v>2.2933953488372092</v>
      </c>
      <c r="C12" s="4">
        <f>res_share_region_target*'LEAP Scenario'!C12</f>
        <v>1.747720930232558</v>
      </c>
      <c r="D12" s="4">
        <f>res_share_region_target*'LEAP Scenario'!D12</f>
        <v>1.2241860465116279</v>
      </c>
      <c r="E12" s="5">
        <f>res_share_region_target*'LEAP Scenario'!E12</f>
        <v>0.53525581395348831</v>
      </c>
      <c r="G12" s="1" t="s">
        <v>10</v>
      </c>
      <c r="H12" s="4">
        <f>res_share_region_target*'LEAP Scenario'!H12</f>
        <v>2.2061395348837207</v>
      </c>
      <c r="I12" s="4">
        <f>res_share_region_target*'LEAP Scenario'!I12</f>
        <v>1.4820465116279069</v>
      </c>
      <c r="J12" s="4">
        <f>res_share_region_target*'LEAP Scenario'!J12</f>
        <v>0.78269767441860461</v>
      </c>
      <c r="K12" s="5">
        <f>res_share_region_target*'LEAP Scenario'!K12</f>
        <v>0</v>
      </c>
      <c r="L12" s="21"/>
    </row>
    <row r="13" spans="1:25" x14ac:dyDescent="0.25">
      <c r="A13" s="1" t="s">
        <v>11</v>
      </c>
      <c r="B13" s="4">
        <f>res_share_region_target*'LEAP Scenario'!B13</f>
        <v>0.47404651162790695</v>
      </c>
      <c r="C13" s="4">
        <f>res_share_region_target*'LEAP Scenario'!C13</f>
        <v>0.42065116279069764</v>
      </c>
      <c r="D13" s="4">
        <f>res_share_region_target*'LEAP Scenario'!D13</f>
        <v>0.37767441860465112</v>
      </c>
      <c r="E13" s="5">
        <f>res_share_region_target*'LEAP Scenario'!E13</f>
        <v>0.33730232558139533</v>
      </c>
      <c r="G13" s="1" t="s">
        <v>11</v>
      </c>
      <c r="H13" s="4">
        <f>res_share_region_target*'LEAP Scenario'!H13</f>
        <v>0.41153488372093022</v>
      </c>
      <c r="I13" s="4">
        <f>res_share_region_target*'LEAP Scenario'!I13</f>
        <v>0.45972093023255811</v>
      </c>
      <c r="J13" s="4">
        <f>res_share_region_target*'LEAP Scenario'!J13</f>
        <v>0.41283720930232554</v>
      </c>
      <c r="K13" s="5">
        <f>res_share_region_target*'LEAP Scenario'!K13</f>
        <v>0.38548837209302322</v>
      </c>
      <c r="L13" s="21"/>
      <c r="N13" s="21"/>
      <c r="O13" s="21"/>
      <c r="P13" s="21"/>
      <c r="Q13" s="21"/>
      <c r="T13" s="21"/>
      <c r="U13" s="21"/>
      <c r="V13" s="21"/>
      <c r="W13" s="21"/>
    </row>
    <row r="14" spans="1:25" x14ac:dyDescent="0.25">
      <c r="A14" s="7" t="s">
        <v>12</v>
      </c>
      <c r="B14" s="8">
        <f>SUM(B4:B13)</f>
        <v>6.6249302325581398</v>
      </c>
      <c r="C14" s="8">
        <f>SUM(C4:C13)</f>
        <v>5.5544186046511621</v>
      </c>
      <c r="D14" s="8">
        <f>SUM(D4:D13)</f>
        <v>4.5893953488372086</v>
      </c>
      <c r="E14" s="9">
        <f>SUM(E4:E13)</f>
        <v>3.132093023255814</v>
      </c>
      <c r="G14" s="7" t="s">
        <v>12</v>
      </c>
      <c r="H14" s="8">
        <f>SUM(H4:H13)</f>
        <v>6.4543255813953477</v>
      </c>
      <c r="I14" s="8">
        <f>SUM(I4:I13)</f>
        <v>5.2692093023255815</v>
      </c>
      <c r="J14" s="8">
        <f>SUM(J4:J13)</f>
        <v>3.985116279069767</v>
      </c>
      <c r="K14" s="9">
        <f>SUM(K4:K13)</f>
        <v>2.2452093023255815</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3.7923720930232556</v>
      </c>
      <c r="C24" s="4">
        <f>res_share_region_target*'LEAP Scenario'!C24</f>
        <v>3.0865116279069764</v>
      </c>
      <c r="D24" s="4">
        <f>res_share_region_target*'LEAP Scenario'!D24</f>
        <v>2.6306976744186046</v>
      </c>
      <c r="E24" s="5">
        <f>res_share_region_target*'LEAP Scenario'!E24</f>
        <v>2.2087441860465113</v>
      </c>
      <c r="G24" s="1" t="s">
        <v>21</v>
      </c>
      <c r="H24" s="4">
        <f>res_share_region_target*'LEAP Scenario'!H24</f>
        <v>3.8066976744186043</v>
      </c>
      <c r="I24" s="4">
        <f>res_share_region_target*'LEAP Scenario'!I24</f>
        <v>2.7270697674418605</v>
      </c>
      <c r="J24" s="4">
        <f>res_share_region_target*'LEAP Scenario'!J24</f>
        <v>1.5185116279069766</v>
      </c>
      <c r="K24" s="5">
        <f>res_share_region_target*'LEAP Scenario'!K24</f>
        <v>0.11851162790697674</v>
      </c>
    </row>
    <row r="25" spans="1:16" x14ac:dyDescent="0.25">
      <c r="A25" s="1" t="s">
        <v>22</v>
      </c>
      <c r="B25" s="4">
        <f>res_share_region_target*'LEAP Scenario'!B25</f>
        <v>0.51441860465116274</v>
      </c>
      <c r="C25" s="4">
        <f>res_share_region_target*'LEAP Scenario'!C25</f>
        <v>0.41544186046511627</v>
      </c>
      <c r="D25" s="4">
        <f>res_share_region_target*'LEAP Scenario'!D25</f>
        <v>0.35162790697674418</v>
      </c>
      <c r="E25" s="5">
        <f>res_share_region_target*'LEAP Scenario'!E25</f>
        <v>0.29172093023255813</v>
      </c>
      <c r="G25" s="1" t="s">
        <v>22</v>
      </c>
      <c r="H25" s="4">
        <f>res_share_region_target*'LEAP Scenario'!H25</f>
        <v>0.50790697674418606</v>
      </c>
      <c r="I25" s="4">
        <f>res_share_region_target*'LEAP Scenario'!I25</f>
        <v>0.3386046511627907</v>
      </c>
      <c r="J25" s="4">
        <f>res_share_region_target*'LEAP Scenario'!J25</f>
        <v>0.18362790697674417</v>
      </c>
      <c r="K25" s="5">
        <f>res_share_region_target*'LEAP Scenario'!K25</f>
        <v>2.083720930232558E-2</v>
      </c>
    </row>
    <row r="26" spans="1:16" x14ac:dyDescent="0.25">
      <c r="A26" s="1" t="s">
        <v>23</v>
      </c>
      <c r="B26" s="4">
        <f>res_share_region_target*'LEAP Scenario'!B26</f>
        <v>3.9069767441860465E-3</v>
      </c>
      <c r="C26" s="4">
        <f>res_share_region_target*'LEAP Scenario'!C26</f>
        <v>1.1720930232558139E-2</v>
      </c>
      <c r="D26" s="4">
        <f>res_share_region_target*'LEAP Scenario'!D26</f>
        <v>1.8232558139534883E-2</v>
      </c>
      <c r="E26" s="5">
        <f>res_share_region_target*'LEAP Scenario'!E26</f>
        <v>2.7348837209302323E-2</v>
      </c>
      <c r="G26" s="1" t="s">
        <v>23</v>
      </c>
      <c r="H26" s="4">
        <f>res_share_region_target*'LEAP Scenario'!H26</f>
        <v>3.9069767441860465E-3</v>
      </c>
      <c r="I26" s="4">
        <f>res_share_region_target*'LEAP Scenario'!I26</f>
        <v>0.10679069767441859</v>
      </c>
      <c r="J26" s="4">
        <f>res_share_region_target*'LEAP Scenario'!J26</f>
        <v>0.30995348837209302</v>
      </c>
      <c r="K26" s="5">
        <f>res_share_region_target*'LEAP Scenario'!K26</f>
        <v>0.60037209302325578</v>
      </c>
    </row>
    <row r="27" spans="1:16" x14ac:dyDescent="0.25">
      <c r="A27" s="1" t="s">
        <v>20</v>
      </c>
      <c r="B27" s="4">
        <f>res_share_region_target*'LEAP Scenario'!B27</f>
        <v>0.13804651162790696</v>
      </c>
      <c r="C27" s="4">
        <f>res_share_region_target*'LEAP Scenario'!C27</f>
        <v>0.13023255813953488</v>
      </c>
      <c r="D27" s="4">
        <f>res_share_region_target*'LEAP Scenario'!D27</f>
        <v>0.12762790697674417</v>
      </c>
      <c r="E27" s="5">
        <f>res_share_region_target*'LEAP Scenario'!E27</f>
        <v>0.12632558139534883</v>
      </c>
      <c r="G27" s="1" t="s">
        <v>20</v>
      </c>
      <c r="H27" s="4">
        <f>res_share_region_target*'LEAP Scenario'!H27</f>
        <v>0.12762790697674417</v>
      </c>
      <c r="I27" s="4">
        <f>res_share_region_target*'LEAP Scenario'!I27</f>
        <v>7.9441860465116268E-2</v>
      </c>
      <c r="J27" s="4">
        <f>res_share_region_target*'LEAP Scenario'!J27</f>
        <v>4.2976744186046509E-2</v>
      </c>
      <c r="K27" s="5">
        <f>res_share_region_target*'LEAP Scenario'!K27</f>
        <v>1.3023255813953488E-3</v>
      </c>
    </row>
    <row r="28" spans="1:16" x14ac:dyDescent="0.25">
      <c r="A28" s="1" t="s">
        <v>18</v>
      </c>
      <c r="B28" s="4">
        <f>res_share_region_target*'LEAP Scenario'!B28</f>
        <v>1.3023255813953488E-3</v>
      </c>
      <c r="C28" s="4">
        <f>res_share_region_target*'LEAP Scenario'!C28</f>
        <v>1.3023255813953488E-3</v>
      </c>
      <c r="D28" s="4">
        <f>res_share_region_target*'LEAP Scenario'!D28</f>
        <v>1.3023255813953488E-3</v>
      </c>
      <c r="E28" s="5">
        <f>res_share_region_target*'LEAP Scenario'!E28</f>
        <v>0</v>
      </c>
      <c r="G28" s="1" t="s">
        <v>18</v>
      </c>
      <c r="H28" s="4">
        <f>res_share_region_target*'LEAP Scenario'!H28</f>
        <v>1.041860465116279E-2</v>
      </c>
      <c r="I28" s="4">
        <f>res_share_region_target*'LEAP Scenario'!I28</f>
        <v>4.9488372093023252E-2</v>
      </c>
      <c r="J28" s="4">
        <f>res_share_region_target*'LEAP Scenario'!J28</f>
        <v>7.9441860465116268E-2</v>
      </c>
      <c r="K28" s="5">
        <f>res_share_region_target*'LEAP Scenario'!K28</f>
        <v>0.11330232558139534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4.4500465116279067</v>
      </c>
      <c r="C30" s="8">
        <f>SUM(C24:C29)</f>
        <v>3.6452093023255814</v>
      </c>
      <c r="D30" s="8">
        <f>SUM(D24:D29)</f>
        <v>3.1294883720930233</v>
      </c>
      <c r="E30" s="9">
        <f>SUM(E24:E29)</f>
        <v>2.6541395348837207</v>
      </c>
      <c r="G30" s="7" t="s">
        <v>12</v>
      </c>
      <c r="H30" s="8">
        <f>SUM(H24:H29)</f>
        <v>4.4565581395348826</v>
      </c>
      <c r="I30" s="8">
        <f>SUM(I24:I29)</f>
        <v>3.3013953488372088</v>
      </c>
      <c r="J30" s="8">
        <f>SUM(J24:J29)</f>
        <v>2.1345116279069765</v>
      </c>
      <c r="K30" s="9">
        <f>SUM(K24:K29)</f>
        <v>0.85432558139534875</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1.5627906976744186E-2</v>
      </c>
      <c r="C49" s="20">
        <f>res_share_region_target*'LEAP Scenario'!C49</f>
        <v>7.2930232558139532E-2</v>
      </c>
      <c r="D49" s="20">
        <f>res_share_region_target*'LEAP Scenario'!D49</f>
        <v>0.11460465116279069</v>
      </c>
      <c r="E49" s="20">
        <f>res_share_region_target*'LEAP Scenario'!E49</f>
        <v>0.16799999999999998</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6624.9302325581402</v>
      </c>
      <c r="J21" s="63">
        <f>'2.Heat Targets'!C24</f>
        <v>5554.4186046511622</v>
      </c>
      <c r="K21" s="63">
        <f>'2.Heat Targets'!D24</f>
        <v>4589.395348837209</v>
      </c>
      <c r="L21" s="64">
        <f>'2.Heat Targets'!E24</f>
        <v>3132.0930232558139</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52.874418604651154</v>
      </c>
      <c r="J22" s="63">
        <f>'2.Heat Targets'!C25</f>
        <v>283.38604651162791</v>
      </c>
      <c r="K22" s="63">
        <f>'2.Heat Targets'!D25</f>
        <v>557.91627906976737</v>
      </c>
      <c r="L22" s="64">
        <f>'2.Heat Targets'!E25</f>
        <v>597.63720930232546</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6454.3255813953474</v>
      </c>
      <c r="J23" s="63">
        <f>'2.Heat Targets'!C26</f>
        <v>5269.2093023255811</v>
      </c>
      <c r="K23" s="63">
        <f>'2.Heat Targets'!D26</f>
        <v>3985.1162790697667</v>
      </c>
      <c r="L23" s="64">
        <f>'2.Heat Targets'!E26</f>
        <v>2245.2093023255816</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71.106976744186028</v>
      </c>
      <c r="J24" s="63">
        <f>'2.Heat Targets'!C27</f>
        <v>325.06046511627909</v>
      </c>
      <c r="K24" s="63">
        <f>'2.Heat Targets'!D27</f>
        <v>738.4186046511627</v>
      </c>
      <c r="L24" s="64">
        <f>'2.Heat Targets'!E27</f>
        <v>1031.4418604651162</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152.37209302325832</v>
      </c>
      <c r="J25" s="63">
        <f>'2.Heat Targets'!C28</f>
        <v>243.53488372092971</v>
      </c>
      <c r="K25" s="63">
        <f>'2.Heat Targets'!D28</f>
        <v>423.77674418604693</v>
      </c>
      <c r="L25" s="64">
        <f>'2.Heat Targets'!E28</f>
        <v>453.07906976744175</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31.037500000000001</v>
      </c>
      <c r="J26" s="308">
        <f>'2.Heat Targets'!C29</f>
        <v>0</v>
      </c>
      <c r="K26" s="308">
        <f>'2.Heat Targets'!D29</f>
        <v>0</v>
      </c>
      <c r="L26" s="308">
        <f>'2.Heat Targets'!E29</f>
        <v>0</v>
      </c>
      <c r="O26" s="308">
        <f>'2.Heat Targets'!B29</f>
        <v>31.037500000000001</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4.9092901497626515</v>
      </c>
      <c r="J27" s="63">
        <f>'2.Heat Targets'!C30</f>
        <v>7.8464722906461439</v>
      </c>
      <c r="K27" s="63">
        <f>'2.Heat Targets'!D30</f>
        <v>13.653700980621728</v>
      </c>
      <c r="L27" s="64">
        <f>'2.Heat Targets'!E30</f>
        <v>14.597795240191438</v>
      </c>
      <c r="O27" s="62">
        <f>O25/$O$26</f>
        <v>327.85742470213853</v>
      </c>
      <c r="P27" s="63">
        <f>P25/$O$26</f>
        <v>1419.9363947427803</v>
      </c>
      <c r="Q27" s="63">
        <f>Q25/$O$26</f>
        <v>2140.9008190451227</v>
      </c>
      <c r="R27" s="64">
        <f>R25/$O$26</f>
        <v>4560.0017747407073</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36</v>
      </c>
      <c r="J28" s="203">
        <f>'2.Heat Targets'!C31</f>
        <v>38.160000000000004</v>
      </c>
      <c r="K28" s="203">
        <f>'2.Heat Targets'!D31</f>
        <v>40.449600000000004</v>
      </c>
      <c r="L28" s="203">
        <f>'2.Heat Targets'!E31</f>
        <v>42.876576000000007</v>
      </c>
      <c r="O28" s="203">
        <f>'2.Heat Targets'!B31</f>
        <v>36</v>
      </c>
      <c r="P28" s="203">
        <f>'2.Heat Targets'!C31</f>
        <v>38.160000000000004</v>
      </c>
      <c r="Q28" s="203">
        <f>'2.Heat Targets'!D31</f>
        <v>40.449600000000004</v>
      </c>
      <c r="R28" s="203">
        <f>'2.Heat Targets'!E31</f>
        <v>42.876576000000007</v>
      </c>
      <c r="T28" t="str">
        <f>'2.Heat Targets'!G31</f>
        <v>Enter a projection of the number of future residences in the area by each year.</v>
      </c>
    </row>
    <row r="29" spans="8:20" x14ac:dyDescent="0.25">
      <c r="I29" s="86">
        <f>'2.Heat Targets'!B32</f>
        <v>0.13636917082674033</v>
      </c>
      <c r="J29" s="87">
        <f>'2.Heat Targets'!C32</f>
        <v>0.20562034304628257</v>
      </c>
      <c r="K29" s="87">
        <f>'2.Heat Targets'!D32</f>
        <v>0.3375484796047854</v>
      </c>
      <c r="L29" s="88">
        <f>'2.Heat Targets'!E32</f>
        <v>0.34046084370616336</v>
      </c>
      <c r="O29" s="104">
        <f>O27/O28</f>
        <v>9.1071506861705149</v>
      </c>
      <c r="P29" s="105">
        <f>P27/P28</f>
        <v>37.210073237494242</v>
      </c>
      <c r="Q29" s="105">
        <f>Q27/Q28</f>
        <v>52.927614093714709</v>
      </c>
      <c r="R29" s="106">
        <f>R27/R28</f>
        <v>106.351817242606</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124.15</v>
      </c>
      <c r="J34" s="94">
        <f>'2.Heat Targets'!C54</f>
        <v>117.768058602701</v>
      </c>
      <c r="K34" s="94">
        <f>'2.Heat Targets'!D54</f>
        <v>113.67333906426649</v>
      </c>
      <c r="L34" s="95">
        <f>'2.Heat Targets'!E54</f>
        <v>113.58294656346996</v>
      </c>
      <c r="O34" s="107">
        <f>'1.Current Heat'!B10</f>
        <v>124.15</v>
      </c>
      <c r="P34" s="108">
        <f>P29*($O$34-$O$26)+(1-P29)*$O$34</f>
        <v>-1030.7576481087272</v>
      </c>
      <c r="Q34" s="108">
        <f>Q29*($O$34-$O$26)+(1-Q29)*$O$34</f>
        <v>-1518.5908224336699</v>
      </c>
      <c r="R34" s="110">
        <f>R29*($O$34-$O$26)+(1-R29)*$O$34</f>
        <v>-3176.7445276673843</v>
      </c>
      <c r="T34" t="str">
        <f>'2.Heat Targets'!G54</f>
        <v>This is a projection of the average area residential heating load, in millions of Btu, computed based on values inputted above and in the "1.Current Heat" tab</v>
      </c>
    </row>
    <row r="35" spans="9:20" x14ac:dyDescent="0.25">
      <c r="I35" s="81">
        <f>'2.Heat Targets'!B55</f>
        <v>2380.6511627906975</v>
      </c>
      <c r="J35" s="82">
        <f>'2.Heat Targets'!C55</f>
        <v>1728.1860465116279</v>
      </c>
      <c r="K35" s="82">
        <f>'2.Heat Targets'!D55</f>
        <v>1099.1627906976744</v>
      </c>
      <c r="L35" s="83">
        <f>'2.Heat Targets'!E55</f>
        <v>165.3953488372093</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3.7678975131876416E-2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19.175603405482864</v>
      </c>
      <c r="J37" s="63">
        <f>'2.Heat Targets'!C57</f>
        <v>14.674488711253936</v>
      </c>
      <c r="K37" s="63">
        <f>'2.Heat Targets'!D57</f>
        <v>9.6694862642879738</v>
      </c>
      <c r="L37" s="64">
        <f>'2.Heat Targets'!E57</f>
        <v>1.4561635689278993</v>
      </c>
      <c r="O37" s="62">
        <f>O35/O34</f>
        <v>2246.8249038428894</v>
      </c>
      <c r="P37" s="62">
        <f>P35/P34</f>
        <v>-206.47403852363146</v>
      </c>
      <c r="Q37" s="62">
        <f>Q35/Q34</f>
        <v>-98.473397432584164</v>
      </c>
      <c r="R37" s="112">
        <f>R35/R34</f>
        <v>-15.50528701469606</v>
      </c>
      <c r="T37" t="str">
        <f>'2.Heat Targets'!G57</f>
        <v>This formula computes an estimate the number of residences using biofuel-blended heat energy in the 90x50 scenario based on values inputted in the "1.Current Heat" tab.</v>
      </c>
    </row>
    <row r="38" spans="9:20" x14ac:dyDescent="0.25">
      <c r="I38" s="65">
        <f>'2.Heat Targets'!B58</f>
        <v>0.53265565015230176</v>
      </c>
      <c r="J38" s="66">
        <f>'2.Heat Targets'!C58</f>
        <v>0.38455159096577396</v>
      </c>
      <c r="K38" s="66">
        <f>'2.Heat Targets'!D58</f>
        <v>0.23905023199952466</v>
      </c>
      <c r="L38" s="67">
        <f>'2.Heat Targets'!E58</f>
        <v>3.3961750325583344E-2</v>
      </c>
      <c r="O38" s="109">
        <f>O37/O28</f>
        <v>62.411802884524704</v>
      </c>
      <c r="P38" s="109">
        <f>P37/P28</f>
        <v>-5.4107452443299646</v>
      </c>
      <c r="Q38" s="109">
        <f>Q37/Q28</f>
        <v>-2.4344714764196471</v>
      </c>
      <c r="R38" s="113">
        <f>R37/R28</f>
        <v>-0.36162605462469899</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2832.5581395348836</v>
      </c>
      <c r="J39" s="82">
        <f>'2.Heat Targets'!C59</f>
        <v>2374.1395348837209</v>
      </c>
      <c r="K39" s="82">
        <f>'2.Heat Targets'!D59</f>
        <v>1881.8604651162789</v>
      </c>
      <c r="L39" s="83">
        <f>'2.Heat Targets'!E59</f>
        <v>1362.2325581395346</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22.815611272935026</v>
      </c>
      <c r="J40" s="63">
        <f>'2.Heat Targets'!C60</f>
        <v>20.159452087879369</v>
      </c>
      <c r="K40" s="63">
        <f>'2.Heat Targets'!D60</f>
        <v>16.554985369545168</v>
      </c>
      <c r="L40" s="64">
        <f>'2.Heat Targets'!E60</f>
        <v>11.993284197626634</v>
      </c>
      <c r="O40" s="62">
        <f>O39/O34</f>
        <v>1508.6698252725159</v>
      </c>
      <c r="P40" s="62">
        <f>P39/P34</f>
        <v>-187.67093705615588</v>
      </c>
      <c r="Q40" s="62">
        <f>Q39/Q34</f>
        <v>-128.51322609709266</v>
      </c>
      <c r="R40" s="112">
        <f>R39/R34</f>
        <v>-62.819115884166052</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0.63376697980375074</v>
      </c>
      <c r="J41" s="66">
        <f>'2.Heat Targets'!C61</f>
        <v>0.52828752850836913</v>
      </c>
      <c r="K41" s="66">
        <f>'2.Heat Targets'!D61</f>
        <v>0.40927439009397293</v>
      </c>
      <c r="L41" s="67">
        <f>'2.Heat Targets'!E61</f>
        <v>0.27971646331149747</v>
      </c>
      <c r="O41" s="109">
        <f>O40/O28</f>
        <v>41.907495146458778</v>
      </c>
      <c r="P41" s="109">
        <f>P40/P28</f>
        <v>-4.9180014951822812</v>
      </c>
      <c r="Q41" s="109">
        <f>Q40/Q28</f>
        <v>-3.17711982558771</v>
      </c>
      <c r="R41" s="113">
        <f>R40/R28</f>
        <v>-1.4651150288718493</v>
      </c>
      <c r="T41" t="str">
        <f>'2.Heat Targets'!G61</f>
        <v>This formula computes the estimated share of area residences using Wood heat  in the 90x50 scenario, based on values inputted in the "1.Current Heat" tab.</v>
      </c>
    </row>
    <row r="42" spans="9:20" x14ac:dyDescent="0.25">
      <c r="I42" s="81">
        <f>'2.Heat Targets'!B62</f>
        <v>50.790697674418603</v>
      </c>
      <c r="J42" s="82">
        <f>'2.Heat Targets'!C62</f>
        <v>203.16279069767441</v>
      </c>
      <c r="K42" s="82">
        <f>'2.Heat Targets'!D62</f>
        <v>410.23255813953483</v>
      </c>
      <c r="L42" s="83">
        <f>'2.Heat Targets'!E62</f>
        <v>515.72093023255809</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1.4026543285035917</v>
      </c>
      <c r="J43" s="63">
        <f>'2.Heat Targets'!C63</f>
        <v>5.9803794235464425</v>
      </c>
      <c r="K43" s="63">
        <f>'2.Heat Targets'!D63</f>
        <v>12.631052851158161</v>
      </c>
      <c r="L43" s="64">
        <f>'2.Heat Targets'!E63</f>
        <v>16.025218340772067</v>
      </c>
      <c r="O43" s="62">
        <f>O42/((0.7*O34)/2.4)</f>
        <v>167.55667389802005</v>
      </c>
      <c r="P43" s="112">
        <f>P42/((0.75*P34)/2.6)</f>
        <v>-95.378991588064153</v>
      </c>
      <c r="Q43" s="112">
        <f>Q42/((0.8*Q34)/2.8)</f>
        <v>-152.18698000713968</v>
      </c>
      <c r="R43" s="64">
        <f>R42/((0.85*R34)/3)</f>
        <v>-110.60233570894299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3.8962620236210881E-2</v>
      </c>
      <c r="J44" s="66">
        <f>'2.Heat Targets'!C64</f>
        <v>0.15671853835289418</v>
      </c>
      <c r="K44" s="66">
        <f>'2.Heat Targets'!D64</f>
        <v>0.31226644642117996</v>
      </c>
      <c r="L44" s="67">
        <f>'2.Heat Targets'!E64</f>
        <v>0.37375228704764263</v>
      </c>
      <c r="O44" s="109">
        <f>O43/O28</f>
        <v>4.6543520527227793</v>
      </c>
      <c r="P44" s="109">
        <f>P43/P28</f>
        <v>-2.4994494650960206</v>
      </c>
      <c r="Q44" s="109">
        <f>Q43/Q28</f>
        <v>-3.7623852895242393</v>
      </c>
      <c r="R44" s="113">
        <f>R43/R28</f>
        <v>-2.5795514947122404</v>
      </c>
      <c r="T44" t="str">
        <f>'2.Heat Targets'!G64</f>
        <v>This formula computes the estimated share of area residences using Heat Pumps in the 90x50 scenario based on values inputted above and in the "1.Current Heat" tab.</v>
      </c>
    </row>
    <row r="45" spans="9:20" x14ac:dyDescent="0.25">
      <c r="I45" s="81">
        <f>'2.Heat Targets'!B65</f>
        <v>920.74418604651157</v>
      </c>
      <c r="J45" s="82">
        <f>'2.Heat Targets'!C65</f>
        <v>720.18604651162786</v>
      </c>
      <c r="K45" s="82">
        <f>'2.Heat Targets'!D65</f>
        <v>461.02325581395348</v>
      </c>
      <c r="L45" s="83">
        <f>'2.Heat Targets'!E65</f>
        <v>161.48837209302326</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7.4163849057310633</v>
      </c>
      <c r="J46" s="63">
        <f>'2.Heat Targets'!C66</f>
        <v>6.1152918291811806</v>
      </c>
      <c r="K46" s="63">
        <f>'2.Heat Targets'!D66</f>
        <v>4.0556849971065674</v>
      </c>
      <c r="L46" s="64">
        <f>'2.Heat Targets'!E66</f>
        <v>1.4217660043075553</v>
      </c>
      <c r="O46" s="62">
        <f>O45/O34</f>
        <v>1909.2541340352082</v>
      </c>
      <c r="P46" s="62">
        <f>P45/P34</f>
        <v>-181.37516132039039</v>
      </c>
      <c r="Q46" s="62">
        <f>Q45/Q34</f>
        <v>-77.622072334247108</v>
      </c>
      <c r="R46" s="112">
        <f>R45/R34</f>
        <v>-9.4200922382335666</v>
      </c>
      <c r="T46" t="str">
        <f>'2.Heat Targets'!G66</f>
        <v>This formula computes the estimates number of area residences using fossil heat in the 90x50 scenario based on values inputted in the "1.Current Heat" tab.</v>
      </c>
    </row>
    <row r="47" spans="9:20" x14ac:dyDescent="0.25">
      <c r="I47" s="65">
        <f>'2.Heat Targets'!B67</f>
        <v>0.20601069182586287</v>
      </c>
      <c r="J47" s="66">
        <f>'2.Heat Targets'!C67</f>
        <v>0.16025397875212735</v>
      </c>
      <c r="K47" s="66">
        <f>'2.Heat Targets'!D67</f>
        <v>0.10026514470122244</v>
      </c>
      <c r="L47" s="67">
        <f>'2.Heat Targets'!E67</f>
        <v>3.3159504254900274E-2</v>
      </c>
      <c r="O47" s="109">
        <f>O46/O28</f>
        <v>53.034837056533561</v>
      </c>
      <c r="P47" s="109">
        <f>P46/P28</f>
        <v>-4.7530178543079238</v>
      </c>
      <c r="Q47" s="109">
        <f>Q46/Q28</f>
        <v>-1.9189824456668818</v>
      </c>
      <c r="R47" s="113">
        <f>R46/R28</f>
        <v>-0.21970253031010603</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245</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1.3410860881476726E-4</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1.3023255813953488E-3</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0</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0</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22"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5713.3776806060605</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76</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48363.63636363636</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44010.909090909088</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5336.6968200000001</v>
      </c>
      <c r="C22" s="266" t="s">
        <v>66</v>
      </c>
      <c r="D22" s="266"/>
      <c r="E22" s="266"/>
      <c r="F22" s="266"/>
      <c r="G22" s="266"/>
      <c r="H22" s="266"/>
      <c r="I22" s="266"/>
      <c r="J22" s="266"/>
      <c r="K22" s="266"/>
      <c r="L22" s="266"/>
      <c r="M22" s="266"/>
      <c r="N22" s="266"/>
    </row>
    <row r="23" spans="1:14" ht="36" customHeight="1" x14ac:dyDescent="0.25">
      <c r="B23" s="120">
        <f>B18-B20</f>
        <v>4352.7272727272721</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368.71952727272719</v>
      </c>
      <c r="C25" s="266" t="s">
        <v>69</v>
      </c>
      <c r="D25" s="266"/>
      <c r="E25" s="266"/>
      <c r="F25" s="266"/>
      <c r="G25" s="266"/>
      <c r="H25" s="266"/>
      <c r="I25" s="266"/>
      <c r="J25" s="266"/>
      <c r="K25" s="266"/>
      <c r="L25" s="266"/>
      <c r="M25" s="266"/>
      <c r="N25" s="266"/>
    </row>
    <row r="26" spans="1:14" ht="36" customHeight="1" x14ac:dyDescent="0.25">
      <c r="B26" s="122">
        <f>B22+B25</f>
        <v>5705.4163472727269</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1</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2333.3333333333335</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7.961333333333334</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24" sqref="B24"/>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t="e">
        <f ca="1">SUM(B18,B43)</f>
        <v>#DIV/0!</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36</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124.15</v>
      </c>
      <c r="C10" s="273" t="s">
        <v>543</v>
      </c>
      <c r="D10" s="272"/>
      <c r="E10" s="272"/>
      <c r="F10" s="272"/>
      <c r="G10" s="272"/>
      <c r="H10" s="272"/>
      <c r="I10" s="272"/>
      <c r="J10" s="272"/>
      <c r="K10" s="272"/>
      <c r="L10" s="272"/>
      <c r="M10" s="272"/>
      <c r="N10" s="272"/>
      <c r="O10" s="212">
        <f>SUM('2.Heat Targets'!E58,'2.Heat Targets'!E61,'2.Heat Targets'!E64,'2.Heat Targets'!E67)</f>
        <v>0.72059000493962366</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4469.4000000000005</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0</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t="e">
        <f ca="1">L41</f>
        <v>#DIV/0!</v>
      </c>
      <c r="C24" s="274" t="s">
        <v>541</v>
      </c>
      <c r="D24" s="275"/>
      <c r="E24" s="275"/>
      <c r="F24" s="275"/>
      <c r="G24" s="275"/>
      <c r="H24" s="275"/>
      <c r="I24" s="275"/>
      <c r="J24" s="275"/>
      <c r="K24" s="275"/>
      <c r="L24" s="275"/>
      <c r="M24" s="275"/>
      <c r="N24" s="275"/>
      <c r="O24" s="212" t="e">
        <f ca="1">SUM('2.Heat Targets'!E76,'2.Heat Targets'!E79,'2.Heat Targets'!E82,'2.Heat Targets'!E85)</f>
        <v>#DIV/0!</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t="e">
        <f t="shared" ref="L27:L40" ca="1" si="1">IF(K27="","",K27/$K$41)</f>
        <v>#DIV/0!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t="e">
        <f t="shared" ca="1" si="1"/>
        <v>#DIV/0!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t="e">
        <f t="shared" ca="1" si="1"/>
        <v>#DIV/0!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t="e">
        <f t="shared" ca="1" si="1"/>
        <v>#DIV/0!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t="e">
        <f t="shared" ca="1" si="1"/>
        <v>#DIV/0!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t="e">
        <f t="shared" ca="1" si="1"/>
        <v>#DIV/0!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0</v>
      </c>
      <c r="L33" s="41" t="e">
        <f t="shared" ca="1" si="1"/>
        <v>#DIV/0!</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t="e">
        <f t="shared" ca="1" si="1"/>
        <v>#DIV/0!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0</v>
      </c>
      <c r="L35" s="41" t="e">
        <f t="shared" ca="1" si="1"/>
        <v>#DIV/0!</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t="e">
        <f t="shared" ca="1" si="1"/>
        <v>#DIV/0!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t="e">
        <f t="shared" ca="1" si="1"/>
        <v>#DIV/0!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t="e">
        <f t="shared" ca="1" si="1"/>
        <v>#DIV/0!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t="e">
        <f t="shared" ca="1" si="1"/>
        <v>#DIV/0!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t="e">
        <f t="shared" ca="1" si="1"/>
        <v>#DIV/0!</v>
      </c>
      <c r="Q40" s="23"/>
    </row>
    <row r="41" spans="2:19" ht="33" customHeight="1" x14ac:dyDescent="0.25">
      <c r="B41" s="54"/>
      <c r="D41" s="42"/>
      <c r="E41" s="185">
        <f>SUM(E27:E40)</f>
        <v>18617</v>
      </c>
      <c r="F41" s="185"/>
      <c r="G41" s="185">
        <f>SUM(G27:G40)</f>
        <v>201453</v>
      </c>
      <c r="H41" s="43"/>
      <c r="I41" s="44">
        <v>13000000</v>
      </c>
      <c r="J41" s="43"/>
      <c r="K41" s="185">
        <f ca="1">SUM(K27:K40)</f>
        <v>0</v>
      </c>
      <c r="L41" s="45" t="e">
        <f ca="1">SUMPRODUCT(J27:J40,L27:L40)</f>
        <v>#DIV/0!</v>
      </c>
      <c r="M41" s="278" t="s">
        <v>542</v>
      </c>
      <c r="N41" s="279"/>
      <c r="O41" s="279"/>
      <c r="P41" s="279"/>
      <c r="Q41" s="279"/>
      <c r="R41" s="279"/>
      <c r="S41" s="279"/>
    </row>
    <row r="42" spans="2:19" ht="22.5" customHeight="1" x14ac:dyDescent="0.25">
      <c r="B42" s="54"/>
    </row>
    <row r="43" spans="2:19" ht="37.5" customHeight="1" x14ac:dyDescent="0.25">
      <c r="B43" s="55" t="e">
        <f ca="1">B22*B24</f>
        <v>#DIV/0!</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0</v>
      </c>
      <c r="C45" s="266" t="s">
        <v>489</v>
      </c>
      <c r="D45" s="266"/>
      <c r="E45" s="266"/>
      <c r="F45" s="266"/>
      <c r="G45" s="266"/>
      <c r="H45" s="266"/>
      <c r="I45" s="266"/>
      <c r="J45" s="266"/>
      <c r="K45" s="266"/>
      <c r="L45" s="266"/>
      <c r="M45" s="266"/>
      <c r="N45" s="266"/>
      <c r="O45" s="266"/>
    </row>
    <row r="52" spans="4:4" x14ac:dyDescent="0.25">
      <c r="D52" s="23"/>
    </row>
  </sheetData>
  <mergeCells count="17">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 ref="E12:N12"/>
    <mergeCell ref="C10:N10"/>
    <mergeCell ref="C45:O45"/>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6624.9302325581402</v>
      </c>
      <c r="C24" s="129">
        <f>'LEAP Region'!C14*1000</f>
        <v>5554.4186046511622</v>
      </c>
      <c r="D24" s="129">
        <f>'LEAP Region'!D14*1000</f>
        <v>4589.395348837209</v>
      </c>
      <c r="E24" s="130">
        <f>'LEAP Region'!E14*1000</f>
        <v>3132.0930232558139</v>
      </c>
      <c r="G24" s="281" t="s">
        <v>122</v>
      </c>
      <c r="H24" s="281"/>
      <c r="I24" s="281"/>
      <c r="J24" s="281"/>
      <c r="K24" s="281"/>
      <c r="L24" s="281"/>
      <c r="M24" s="281"/>
      <c r="N24" s="281"/>
    </row>
    <row r="25" spans="2:18" ht="56.25" customHeight="1" x14ac:dyDescent="0.25">
      <c r="B25" s="178">
        <f>('LEAP Region'!B7+'LEAP Region'!B8)*(2.4-1)*1000</f>
        <v>52.874418604651154</v>
      </c>
      <c r="C25" s="179">
        <f>('LEAP Region'!C7+'LEAP Region'!C8)*(2.6-1)*1000</f>
        <v>283.38604651162791</v>
      </c>
      <c r="D25" s="179">
        <f>('LEAP Region'!D7+'LEAP Region'!D8)*(2.8-1)*1000</f>
        <v>557.91627906976737</v>
      </c>
      <c r="E25" s="180">
        <f>('LEAP Region'!E7+'LEAP Region'!E8)*(2.3-1)*1000</f>
        <v>597.63720930232546</v>
      </c>
      <c r="G25" s="281" t="s">
        <v>178</v>
      </c>
      <c r="H25" s="281"/>
      <c r="I25" s="281"/>
      <c r="J25" s="281"/>
      <c r="K25" s="281"/>
      <c r="L25" s="281"/>
      <c r="M25" s="281"/>
      <c r="N25" s="281"/>
    </row>
    <row r="26" spans="2:18" ht="56.25" customHeight="1" x14ac:dyDescent="0.25">
      <c r="B26" s="128">
        <f>'LEAP Region'!H14*1000</f>
        <v>6454.3255813953474</v>
      </c>
      <c r="C26" s="129">
        <f>'LEAP Region'!I14*1000</f>
        <v>5269.2093023255811</v>
      </c>
      <c r="D26" s="129">
        <f>'LEAP Region'!J14*1000</f>
        <v>3985.1162790697667</v>
      </c>
      <c r="E26" s="130">
        <f>'LEAP Region'!K14*1000</f>
        <v>2245.2093023255816</v>
      </c>
      <c r="G26" s="281" t="s">
        <v>123</v>
      </c>
      <c r="H26" s="281"/>
      <c r="I26" s="281"/>
      <c r="J26" s="281"/>
      <c r="K26" s="281"/>
      <c r="L26" s="281"/>
      <c r="M26" s="281"/>
      <c r="N26" s="281"/>
    </row>
    <row r="27" spans="2:18" ht="56.25" customHeight="1" thickBot="1" x14ac:dyDescent="0.3">
      <c r="B27" s="181">
        <f>('LEAP Region'!H7+'LEAP Region'!H8)*(2.4-1)*1000</f>
        <v>71.106976744186028</v>
      </c>
      <c r="C27" s="182">
        <f>('LEAP Region'!I7+'LEAP Region'!I8)*(2.6-1)*1000</f>
        <v>325.06046511627909</v>
      </c>
      <c r="D27" s="182">
        <f>('LEAP Region'!J7+'LEAP Region'!J8)*(2.8-1)*1000</f>
        <v>738.4186046511627</v>
      </c>
      <c r="E27" s="183">
        <f>('LEAP Region'!K7+'LEAP Region'!K8)*(3-1)*1000</f>
        <v>1031.4418604651162</v>
      </c>
      <c r="G27" s="281" t="s">
        <v>178</v>
      </c>
      <c r="H27" s="281"/>
      <c r="I27" s="281"/>
      <c r="J27" s="281"/>
      <c r="K27" s="281"/>
      <c r="L27" s="281"/>
      <c r="M27" s="281"/>
      <c r="N27" s="281"/>
    </row>
    <row r="28" spans="2:18" ht="56.25" customHeight="1" thickTop="1" x14ac:dyDescent="0.25">
      <c r="B28" s="128">
        <f>B24+B25-B26-B27</f>
        <v>152.37209302325832</v>
      </c>
      <c r="C28" s="129">
        <f>C24+C25-C26-C27</f>
        <v>243.53488372092971</v>
      </c>
      <c r="D28" s="129">
        <f>D24+D25-D26-D27</f>
        <v>423.77674418604693</v>
      </c>
      <c r="E28" s="130">
        <f>E24+E25-E26-E27</f>
        <v>453.07906976744175</v>
      </c>
      <c r="G28" s="281" t="s">
        <v>177</v>
      </c>
      <c r="H28" s="281"/>
      <c r="I28" s="281"/>
      <c r="J28" s="281"/>
      <c r="K28" s="281"/>
      <c r="L28" s="281"/>
      <c r="M28" s="281"/>
      <c r="N28" s="281"/>
    </row>
    <row r="29" spans="2:18" ht="56.25" customHeight="1" x14ac:dyDescent="0.25">
      <c r="B29" s="282">
        <f>0.25*'1.Current Heat'!B10</f>
        <v>31.037500000000001</v>
      </c>
      <c r="C29" s="283"/>
      <c r="D29" s="283"/>
      <c r="E29" s="284"/>
      <c r="G29" s="281" t="s">
        <v>124</v>
      </c>
      <c r="H29" s="281"/>
      <c r="I29" s="281"/>
      <c r="J29" s="281"/>
      <c r="K29" s="281"/>
      <c r="L29" s="281"/>
      <c r="M29" s="281"/>
      <c r="N29" s="281"/>
      <c r="R29">
        <v>60</v>
      </c>
    </row>
    <row r="30" spans="2:18" ht="56.25" customHeight="1" x14ac:dyDescent="0.25">
      <c r="B30" s="128">
        <f>B28/$B$29</f>
        <v>4.9092901497626515</v>
      </c>
      <c r="C30" s="129">
        <f>C28/$B$29</f>
        <v>7.8464722906461439</v>
      </c>
      <c r="D30" s="129">
        <f>D28/$B$29</f>
        <v>13.653700980621728</v>
      </c>
      <c r="E30" s="130">
        <f>E28/$B$29</f>
        <v>14.597795240191438</v>
      </c>
      <c r="G30" s="281" t="s">
        <v>125</v>
      </c>
      <c r="H30" s="281"/>
      <c r="I30" s="281"/>
      <c r="J30" s="281"/>
      <c r="K30" s="281"/>
      <c r="L30" s="281"/>
      <c r="M30" s="281"/>
      <c r="N30" s="281"/>
      <c r="R30">
        <v>96</v>
      </c>
    </row>
    <row r="31" spans="2:18" ht="56.25" customHeight="1" x14ac:dyDescent="0.25">
      <c r="B31" s="131">
        <f>'1.Current Heat'!B8</f>
        <v>36</v>
      </c>
      <c r="C31" s="132">
        <f t="shared" ref="C31:E31" si="0">B31*1.06</f>
        <v>38.160000000000004</v>
      </c>
      <c r="D31" s="132">
        <f t="shared" si="0"/>
        <v>40.449600000000004</v>
      </c>
      <c r="E31" s="133">
        <f t="shared" si="0"/>
        <v>42.876576000000007</v>
      </c>
      <c r="G31" s="281" t="s">
        <v>126</v>
      </c>
      <c r="H31" s="281"/>
      <c r="I31" s="281"/>
      <c r="J31" s="281"/>
      <c r="K31" s="281"/>
      <c r="L31" s="281"/>
      <c r="M31" s="281"/>
      <c r="N31" s="281"/>
      <c r="O31" s="186">
        <f>(E31/B31)^(1/(E23-B23))-1</f>
        <v>5.006971033976404E-3</v>
      </c>
      <c r="R31">
        <f>R29+R30</f>
        <v>156</v>
      </c>
    </row>
    <row r="32" spans="2:18" ht="56.25" customHeight="1" x14ac:dyDescent="0.25">
      <c r="B32" s="134">
        <f>B30/B31</f>
        <v>0.13636917082674033</v>
      </c>
      <c r="C32" s="135">
        <f>C30/C31</f>
        <v>0.20562034304628257</v>
      </c>
      <c r="D32" s="135">
        <f>D30/D31</f>
        <v>0.3375484796047854</v>
      </c>
      <c r="E32" s="136">
        <f>E30/E31</f>
        <v>0.34046084370616336</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0</v>
      </c>
      <c r="C37" s="129">
        <f>('LEAP Region'!O11-'LEAP Region'!O6)*1000</f>
        <v>0</v>
      </c>
      <c r="D37" s="129">
        <f>('LEAP Region'!P11-'LEAP Region'!P6)*1000</f>
        <v>0</v>
      </c>
      <c r="E37" s="130">
        <f>('LEAP Region'!Q11-'LEAP Region'!Q6)*1000</f>
        <v>0</v>
      </c>
      <c r="G37" s="281" t="s">
        <v>179</v>
      </c>
      <c r="H37" s="281"/>
      <c r="I37" s="281"/>
      <c r="J37" s="281"/>
      <c r="K37" s="281"/>
      <c r="L37" s="281"/>
      <c r="M37" s="281"/>
      <c r="N37" s="281"/>
    </row>
    <row r="38" spans="2:34" ht="56.25" customHeight="1" x14ac:dyDescent="0.25">
      <c r="B38" s="128">
        <f>'LEAP Region'!N6*1000</f>
        <v>0</v>
      </c>
      <c r="C38" s="129">
        <f>'LEAP Region'!O6*1000</f>
        <v>0</v>
      </c>
      <c r="D38" s="129">
        <f>'LEAP Region'!P6*1000</f>
        <v>0</v>
      </c>
      <c r="E38" s="130">
        <f>'LEAP Region'!Q6*1000</f>
        <v>0</v>
      </c>
      <c r="F38" s="184"/>
      <c r="G38" s="281" t="s">
        <v>97</v>
      </c>
      <c r="H38" s="281"/>
      <c r="I38" s="281"/>
      <c r="J38" s="281"/>
      <c r="K38" s="281"/>
      <c r="L38" s="281"/>
      <c r="M38" s="281"/>
      <c r="N38" s="281"/>
    </row>
    <row r="39" spans="2:34" ht="56.25" customHeight="1" x14ac:dyDescent="0.25">
      <c r="B39" s="128">
        <f>0.005*B38</f>
        <v>0</v>
      </c>
      <c r="C39" s="129">
        <f>B39-(($B$39-$E$39)/3)</f>
        <v>0</v>
      </c>
      <c r="D39" s="129">
        <f>C39-(($B$39-$E$39)/3)</f>
        <v>0</v>
      </c>
      <c r="E39" s="130">
        <f>0.05*E38</f>
        <v>0</v>
      </c>
      <c r="G39" s="281" t="s">
        <v>195</v>
      </c>
      <c r="H39" s="281"/>
      <c r="I39" s="281"/>
      <c r="J39" s="281"/>
      <c r="K39" s="281"/>
      <c r="L39" s="281"/>
      <c r="M39" s="281"/>
      <c r="N39" s="281"/>
      <c r="V39" s="21"/>
      <c r="W39" s="21"/>
      <c r="X39" s="21"/>
      <c r="Y39" s="21"/>
      <c r="AH39" s="21"/>
    </row>
    <row r="40" spans="2:34" ht="56.25" customHeight="1" x14ac:dyDescent="0.25">
      <c r="B40" s="142">
        <f>B39*(2.4-1)</f>
        <v>0</v>
      </c>
      <c r="C40" s="143">
        <f>C39*(2.6-1)</f>
        <v>0</v>
      </c>
      <c r="D40" s="143">
        <f>D39*(2.8-1)</f>
        <v>0</v>
      </c>
      <c r="E40" s="144">
        <f>E39*(3-1)</f>
        <v>0</v>
      </c>
      <c r="G40" s="281" t="s">
        <v>196</v>
      </c>
      <c r="H40" s="281"/>
      <c r="I40" s="281"/>
      <c r="J40" s="281"/>
      <c r="K40" s="281"/>
      <c r="L40" s="281"/>
      <c r="M40" s="281"/>
      <c r="N40" s="281"/>
      <c r="V40" s="21"/>
      <c r="W40" s="21"/>
      <c r="X40" s="21"/>
      <c r="Y40" s="21"/>
      <c r="AH40" s="21"/>
    </row>
    <row r="41" spans="2:34" ht="56.25" customHeight="1" x14ac:dyDescent="0.25">
      <c r="B41" s="128">
        <f>('LEAP Region'!T11-'LEAP Region'!T6)*1000</f>
        <v>0</v>
      </c>
      <c r="C41" s="129">
        <f>('LEAP Region'!U11-'LEAP Region'!U6)*1000</f>
        <v>0</v>
      </c>
      <c r="D41" s="129">
        <f>('LEAP Region'!V11-'LEAP Region'!V6)*1000</f>
        <v>0</v>
      </c>
      <c r="E41" s="130">
        <f>('LEAP Region'!W11-'LEAP Region'!W6)*1000</f>
        <v>0</v>
      </c>
      <c r="G41" s="281" t="s">
        <v>197</v>
      </c>
      <c r="H41" s="281"/>
      <c r="I41" s="281"/>
      <c r="J41" s="281"/>
      <c r="K41" s="281"/>
      <c r="L41" s="281"/>
      <c r="M41" s="281"/>
      <c r="N41" s="281"/>
      <c r="AH41" s="21"/>
    </row>
    <row r="42" spans="2:34" ht="56.25" customHeight="1" x14ac:dyDescent="0.25">
      <c r="B42" s="128">
        <f>'LEAP Region'!T6*1000</f>
        <v>0</v>
      </c>
      <c r="C42" s="129">
        <f>'LEAP Region'!U6*1000</f>
        <v>0</v>
      </c>
      <c r="D42" s="129">
        <f>'LEAP Region'!V6*1000</f>
        <v>0</v>
      </c>
      <c r="E42" s="130">
        <f>'LEAP Region'!W6*1000</f>
        <v>0</v>
      </c>
      <c r="G42" s="281" t="s">
        <v>98</v>
      </c>
      <c r="H42" s="281"/>
      <c r="I42" s="281"/>
      <c r="J42" s="281"/>
      <c r="K42" s="281"/>
      <c r="L42" s="281"/>
      <c r="M42" s="281"/>
      <c r="N42" s="281"/>
      <c r="V42" s="29"/>
      <c r="W42" s="29"/>
      <c r="X42" s="29"/>
      <c r="Y42" s="29"/>
      <c r="AH42" s="21"/>
    </row>
    <row r="43" spans="2:34" ht="56.25" customHeight="1" x14ac:dyDescent="0.25">
      <c r="B43" s="128">
        <f>B39</f>
        <v>0</v>
      </c>
      <c r="C43" s="129">
        <f>B43-(($B$43-$E$43)/3)</f>
        <v>0</v>
      </c>
      <c r="D43" s="129">
        <f>C43-(($B$43-$E$43)/3)</f>
        <v>0</v>
      </c>
      <c r="E43" s="130">
        <f>0.8*((E37+E39+E40-E41)/3)</f>
        <v>0</v>
      </c>
      <c r="G43" s="281" t="s">
        <v>142</v>
      </c>
      <c r="H43" s="281"/>
      <c r="I43" s="281"/>
      <c r="J43" s="281"/>
      <c r="K43" s="281"/>
      <c r="L43" s="281"/>
      <c r="M43" s="281"/>
      <c r="N43" s="281"/>
      <c r="AH43" s="21"/>
    </row>
    <row r="44" spans="2:34" ht="56.25" customHeight="1" x14ac:dyDescent="0.25">
      <c r="B44" s="128">
        <f>B43*(2.4-1)</f>
        <v>0</v>
      </c>
      <c r="C44" s="129">
        <f>C43*(2.6-1)</f>
        <v>0</v>
      </c>
      <c r="D44" s="129">
        <f>D43*(2.8-1)</f>
        <v>0</v>
      </c>
      <c r="E44" s="130">
        <f>E43*(3-1)</f>
        <v>0</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0</v>
      </c>
      <c r="C45" s="129">
        <f>C37+C39+C40-C41-C43-C44</f>
        <v>0</v>
      </c>
      <c r="D45" s="129">
        <f>D37+D39+D40-D41-D43-D44</f>
        <v>0</v>
      </c>
      <c r="E45" s="130">
        <f>E37+E39+E40-E41-E43-E44</f>
        <v>0</v>
      </c>
      <c r="F45" s="92"/>
      <c r="G45" s="281" t="s">
        <v>149</v>
      </c>
      <c r="H45" s="281"/>
      <c r="I45" s="281"/>
      <c r="J45" s="281"/>
      <c r="K45" s="281"/>
      <c r="L45" s="281"/>
      <c r="M45" s="281"/>
      <c r="N45" s="281"/>
      <c r="R45">
        <v>6</v>
      </c>
      <c r="AH45" s="21"/>
    </row>
    <row r="46" spans="2:34" ht="56.25" customHeight="1" x14ac:dyDescent="0.25">
      <c r="B46" s="285" t="e">
        <f ca="1">0.2*'1.Current Heat'!B24</f>
        <v>#DIV/0!</v>
      </c>
      <c r="C46" s="286"/>
      <c r="D46" s="286"/>
      <c r="E46" s="287"/>
      <c r="G46" s="281" t="s">
        <v>127</v>
      </c>
      <c r="H46" s="281"/>
      <c r="I46" s="281"/>
      <c r="J46" s="281"/>
      <c r="K46" s="281"/>
      <c r="L46" s="281"/>
      <c r="M46" s="281"/>
      <c r="N46" s="281"/>
      <c r="R46">
        <f>R45/R44</f>
        <v>0.18181818181818182</v>
      </c>
      <c r="AH46" s="21"/>
    </row>
    <row r="47" spans="2:34" ht="56.25" customHeight="1" x14ac:dyDescent="0.25">
      <c r="B47" s="128" t="e">
        <f ca="1">B45/$B$46</f>
        <v>#DIV/0!</v>
      </c>
      <c r="C47" s="129" t="e">
        <f ca="1">C45/$B$46</f>
        <v>#DIV/0!</v>
      </c>
      <c r="D47" s="129" t="e">
        <f ca="1">D45/$B$46</f>
        <v>#DIV/0!</v>
      </c>
      <c r="E47" s="130" t="e">
        <f ca="1">E45/$B$46</f>
        <v>#DIV/0!</v>
      </c>
      <c r="G47" s="281" t="s">
        <v>128</v>
      </c>
      <c r="H47" s="281"/>
      <c r="I47" s="281"/>
      <c r="J47" s="281"/>
      <c r="K47" s="281"/>
      <c r="L47" s="281"/>
      <c r="M47" s="281"/>
      <c r="N47" s="281"/>
    </row>
    <row r="48" spans="2:34" ht="56.25" customHeight="1" x14ac:dyDescent="0.25">
      <c r="B48" s="131">
        <f ca="1">'1.Current Heat'!B22</f>
        <v>0</v>
      </c>
      <c r="C48" s="132">
        <f t="shared" ref="C48:E48" ca="1" si="1">B48*1.06</f>
        <v>0</v>
      </c>
      <c r="D48" s="132">
        <f t="shared" ca="1" si="1"/>
        <v>0</v>
      </c>
      <c r="E48" s="133">
        <f t="shared" ca="1" si="1"/>
        <v>0</v>
      </c>
      <c r="G48" s="281" t="s">
        <v>194</v>
      </c>
      <c r="H48" s="281"/>
      <c r="I48" s="281"/>
      <c r="J48" s="281"/>
      <c r="K48" s="281"/>
      <c r="L48" s="281"/>
      <c r="M48" s="281"/>
      <c r="N48" s="281"/>
      <c r="O48" s="186" t="e">
        <f ca="1">(E48/B48)^(1/(E36-B36))-1</f>
        <v>#DIV/0!</v>
      </c>
    </row>
    <row r="49" spans="1:14" ht="56.25" customHeight="1" x14ac:dyDescent="0.25">
      <c r="B49" s="134" t="e">
        <f ca="1">B47/B48</f>
        <v>#DIV/0!</v>
      </c>
      <c r="C49" s="135" t="e">
        <f ca="1">C47/C48</f>
        <v>#DIV/0!</v>
      </c>
      <c r="D49" s="135" t="e">
        <f ca="1">D47/D48</f>
        <v>#DIV/0!</v>
      </c>
      <c r="E49" s="136" t="e">
        <f ca="1">E47/E48</f>
        <v>#DIV/0!</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124.15</v>
      </c>
      <c r="C54" s="147">
        <f>C32*($B$54-$B$29)+(1-C32)*$B$54</f>
        <v>117.768058602701</v>
      </c>
      <c r="D54" s="147">
        <f>D32*($B$54-$B$29)+(1-D32)*$B$54</f>
        <v>113.67333906426649</v>
      </c>
      <c r="E54" s="148">
        <f>E32*($B$54-$B$29)+(1-E32)*$B$54</f>
        <v>113.58294656346996</v>
      </c>
      <c r="F54" s="1"/>
      <c r="G54" s="281" t="s">
        <v>109</v>
      </c>
      <c r="H54" s="281"/>
      <c r="I54" s="281"/>
      <c r="J54" s="281"/>
      <c r="K54" s="281"/>
      <c r="L54" s="281"/>
      <c r="M54" s="281"/>
      <c r="N54" s="281"/>
    </row>
    <row r="55" spans="1:14" ht="56.25" customHeight="1" x14ac:dyDescent="0.25">
      <c r="B55" s="149">
        <f>('LEAP Region'!H4+'LEAP Region'!H9+'LEAP Region'!H12)*1000</f>
        <v>2380.6511627906975</v>
      </c>
      <c r="C55" s="150">
        <f>('LEAP Region'!I4+'LEAP Region'!I9+'LEAP Region'!I12)*1000</f>
        <v>1728.1860465116279</v>
      </c>
      <c r="D55" s="150">
        <f>('LEAP Region'!J4+'LEAP Region'!J9+'LEAP Region'!J12)*1000</f>
        <v>1099.1627906976744</v>
      </c>
      <c r="E55" s="151">
        <f>('LEAP Region'!K4+'LEAP Region'!K9+'LEAP Region'!K12)*1000</f>
        <v>165.3953488372093</v>
      </c>
      <c r="G55" s="281" t="s">
        <v>110</v>
      </c>
      <c r="H55" s="281"/>
      <c r="I55" s="281"/>
      <c r="J55" s="281"/>
      <c r="K55" s="281"/>
      <c r="L55" s="281"/>
      <c r="M55" s="281"/>
      <c r="N55" s="281"/>
    </row>
    <row r="56" spans="1:14" ht="56.25" customHeight="1" x14ac:dyDescent="0.25">
      <c r="B56" s="152">
        <f>'LEAP Region'!H4*1000/'2.Heat Targets'!B55</f>
        <v>7.6586433260393879E-3</v>
      </c>
      <c r="C56" s="153">
        <f>'LEAP Region'!I4*1000/'2.Heat Targets'!C55</f>
        <v>3.7678975131876416E-2</v>
      </c>
      <c r="D56" s="153">
        <f>'LEAP Region'!J4*1000/'2.Heat Targets'!D55</f>
        <v>9.7156398104265393E-2</v>
      </c>
      <c r="E56" s="154">
        <f>'LEAP Region'!K4*1000/'2.Heat Targets'!E55</f>
        <v>1</v>
      </c>
      <c r="G56" s="281" t="s">
        <v>137</v>
      </c>
      <c r="H56" s="281"/>
      <c r="I56" s="281"/>
      <c r="J56" s="281"/>
      <c r="K56" s="281"/>
      <c r="L56" s="281"/>
      <c r="M56" s="281"/>
      <c r="N56" s="281"/>
    </row>
    <row r="57" spans="1:14" ht="56.25" customHeight="1" x14ac:dyDescent="0.25">
      <c r="B57" s="128">
        <f>B55/B54</f>
        <v>19.175603405482864</v>
      </c>
      <c r="C57" s="129">
        <f>C55/C54</f>
        <v>14.674488711253936</v>
      </c>
      <c r="D57" s="129">
        <f>D55/D54</f>
        <v>9.6694862642879738</v>
      </c>
      <c r="E57" s="130">
        <f>E55/E54</f>
        <v>1.4561635689278993</v>
      </c>
      <c r="G57" s="281" t="s">
        <v>111</v>
      </c>
      <c r="H57" s="281"/>
      <c r="I57" s="281"/>
      <c r="J57" s="281"/>
      <c r="K57" s="281"/>
      <c r="L57" s="281"/>
      <c r="M57" s="281"/>
      <c r="N57" s="281"/>
    </row>
    <row r="58" spans="1:14" ht="56.25" customHeight="1" x14ac:dyDescent="0.25">
      <c r="B58" s="134">
        <f>B57/B31</f>
        <v>0.53265565015230176</v>
      </c>
      <c r="C58" s="135">
        <f>C57/C31</f>
        <v>0.38455159096577396</v>
      </c>
      <c r="D58" s="135">
        <f>D57/D31</f>
        <v>0.23905023199952466</v>
      </c>
      <c r="E58" s="136">
        <f>E57/E31</f>
        <v>3.3961750325583344E-2</v>
      </c>
      <c r="G58" s="281" t="s">
        <v>130</v>
      </c>
      <c r="H58" s="281"/>
      <c r="I58" s="281"/>
      <c r="J58" s="281"/>
      <c r="K58" s="281"/>
      <c r="L58" s="281"/>
      <c r="M58" s="281"/>
      <c r="N58" s="281"/>
    </row>
    <row r="59" spans="1:14" ht="56.25" customHeight="1" x14ac:dyDescent="0.25">
      <c r="B59" s="149">
        <f>('LEAP Region'!H5+'LEAP Region'!H13)*1000</f>
        <v>2832.5581395348836</v>
      </c>
      <c r="C59" s="150">
        <f>('LEAP Region'!I5+'LEAP Region'!I13)*1000</f>
        <v>2374.1395348837209</v>
      </c>
      <c r="D59" s="150">
        <f>('LEAP Region'!J5+'LEAP Region'!J13)*1000</f>
        <v>1881.8604651162789</v>
      </c>
      <c r="E59" s="151">
        <f>('LEAP Region'!K5+'LEAP Region'!K13)*1000</f>
        <v>1362.2325581395346</v>
      </c>
      <c r="G59" s="281" t="s">
        <v>112</v>
      </c>
      <c r="H59" s="281"/>
      <c r="I59" s="281"/>
      <c r="J59" s="281"/>
      <c r="K59" s="281"/>
      <c r="L59" s="281"/>
      <c r="M59" s="281"/>
      <c r="N59" s="281"/>
    </row>
    <row r="60" spans="1:14" ht="56.25" customHeight="1" x14ac:dyDescent="0.25">
      <c r="A60" s="2"/>
      <c r="B60" s="128">
        <f>B59/B54</f>
        <v>22.815611272935026</v>
      </c>
      <c r="C60" s="129">
        <f>C59/C54</f>
        <v>20.159452087879369</v>
      </c>
      <c r="D60" s="129">
        <f>D59/D54</f>
        <v>16.554985369545168</v>
      </c>
      <c r="E60" s="130">
        <f>E59/E54</f>
        <v>11.993284197626634</v>
      </c>
      <c r="G60" s="281" t="s">
        <v>140</v>
      </c>
      <c r="H60" s="281"/>
      <c r="I60" s="281"/>
      <c r="J60" s="281"/>
      <c r="K60" s="281"/>
      <c r="L60" s="281"/>
      <c r="M60" s="281"/>
      <c r="N60" s="281"/>
    </row>
    <row r="61" spans="1:14" ht="56.25" customHeight="1" x14ac:dyDescent="0.25">
      <c r="B61" s="134">
        <f>B60/B31</f>
        <v>0.63376697980375074</v>
      </c>
      <c r="C61" s="135">
        <f>C60/C31</f>
        <v>0.52828752850836913</v>
      </c>
      <c r="D61" s="135">
        <f>D60/D31</f>
        <v>0.40927439009397293</v>
      </c>
      <c r="E61" s="136">
        <f>E60/E31</f>
        <v>0.27971646331149747</v>
      </c>
      <c r="G61" s="281" t="s">
        <v>131</v>
      </c>
      <c r="H61" s="281"/>
      <c r="I61" s="281"/>
      <c r="J61" s="281"/>
      <c r="K61" s="281"/>
      <c r="L61" s="281"/>
      <c r="M61" s="281"/>
      <c r="N61" s="281"/>
    </row>
    <row r="62" spans="1:14" ht="56.25" customHeight="1" x14ac:dyDescent="0.25">
      <c r="B62" s="149">
        <f>('LEAP Region'!H7+'LEAP Region'!H8)*1000</f>
        <v>50.790697674418603</v>
      </c>
      <c r="C62" s="150">
        <f>('LEAP Region'!I7+'LEAP Region'!I8)*1000</f>
        <v>203.16279069767441</v>
      </c>
      <c r="D62" s="150">
        <f>('LEAP Region'!J7+'LEAP Region'!J8)*1000</f>
        <v>410.23255813953483</v>
      </c>
      <c r="E62" s="151">
        <f>('LEAP Region'!K7+'LEAP Region'!K8)*1000</f>
        <v>515.72093023255809</v>
      </c>
      <c r="G62" s="281" t="s">
        <v>113</v>
      </c>
      <c r="H62" s="281"/>
      <c r="I62" s="281"/>
      <c r="J62" s="281"/>
      <c r="K62" s="281"/>
      <c r="L62" s="281"/>
      <c r="M62" s="281"/>
      <c r="N62" s="281"/>
    </row>
    <row r="63" spans="1:14" ht="56.25" customHeight="1" x14ac:dyDescent="0.25">
      <c r="B63" s="128">
        <f>B62/((0.7*B54)/2.4)</f>
        <v>1.4026543285035917</v>
      </c>
      <c r="C63" s="129">
        <f>C62/((0.75*C54)/2.6)</f>
        <v>5.9803794235464425</v>
      </c>
      <c r="D63" s="129">
        <f>D62/((0.8*D54)/2.8)</f>
        <v>12.631052851158161</v>
      </c>
      <c r="E63" s="130">
        <f>E62/((0.85*E54)/3)</f>
        <v>16.025218340772067</v>
      </c>
      <c r="F63" s="91"/>
      <c r="G63" s="281" t="s">
        <v>180</v>
      </c>
      <c r="H63" s="281"/>
      <c r="I63" s="281"/>
      <c r="J63" s="281"/>
      <c r="K63" s="281"/>
      <c r="L63" s="281"/>
      <c r="M63" s="281"/>
      <c r="N63" s="281"/>
    </row>
    <row r="64" spans="1:14" ht="56.25" customHeight="1" x14ac:dyDescent="0.25">
      <c r="B64" s="134">
        <f>B63/B31</f>
        <v>3.8962620236210881E-2</v>
      </c>
      <c r="C64" s="135">
        <f>C63/C31</f>
        <v>0.15671853835289418</v>
      </c>
      <c r="D64" s="135">
        <f>D63/D31</f>
        <v>0.31226644642117996</v>
      </c>
      <c r="E64" s="136">
        <f>E63/E31</f>
        <v>0.37375228704764263</v>
      </c>
      <c r="G64" s="281" t="s">
        <v>114</v>
      </c>
      <c r="H64" s="281"/>
      <c r="I64" s="281"/>
      <c r="J64" s="281"/>
      <c r="K64" s="281"/>
      <c r="L64" s="281"/>
      <c r="M64" s="281"/>
      <c r="N64" s="281"/>
    </row>
    <row r="65" spans="1:20" ht="56.25" customHeight="1" x14ac:dyDescent="0.25">
      <c r="B65" s="149">
        <f>('LEAP Region'!H10+'LEAP Region'!H11)*1000</f>
        <v>920.74418604651157</v>
      </c>
      <c r="C65" s="150">
        <f>('LEAP Region'!I10+'LEAP Region'!I11)*1000</f>
        <v>720.18604651162786</v>
      </c>
      <c r="D65" s="150">
        <f>('LEAP Region'!J10+'LEAP Region'!J11)*1000</f>
        <v>461.02325581395348</v>
      </c>
      <c r="E65" s="151">
        <f>('LEAP Region'!K10+'LEAP Region'!K11)*1000</f>
        <v>161.48837209302326</v>
      </c>
      <c r="G65" s="281" t="s">
        <v>115</v>
      </c>
      <c r="H65" s="281"/>
      <c r="I65" s="281"/>
      <c r="J65" s="281"/>
      <c r="K65" s="281"/>
      <c r="L65" s="281"/>
      <c r="M65" s="281"/>
      <c r="N65" s="281"/>
    </row>
    <row r="66" spans="1:20" ht="56.25" customHeight="1" x14ac:dyDescent="0.25">
      <c r="B66" s="128">
        <f>B65/B54</f>
        <v>7.4163849057310633</v>
      </c>
      <c r="C66" s="129">
        <f>C65/C54</f>
        <v>6.1152918291811806</v>
      </c>
      <c r="D66" s="129">
        <f>D65/D54</f>
        <v>4.0556849971065674</v>
      </c>
      <c r="E66" s="130">
        <f>E65/E54</f>
        <v>1.4217660043075553</v>
      </c>
      <c r="G66" s="281" t="s">
        <v>146</v>
      </c>
      <c r="H66" s="281"/>
      <c r="I66" s="281"/>
      <c r="J66" s="281"/>
      <c r="K66" s="281"/>
      <c r="L66" s="281"/>
      <c r="M66" s="281"/>
      <c r="N66" s="281"/>
    </row>
    <row r="67" spans="1:20" ht="56.25" customHeight="1" x14ac:dyDescent="0.25">
      <c r="A67" s="21"/>
      <c r="B67" s="134">
        <f>B66/B31</f>
        <v>0.20601069182586287</v>
      </c>
      <c r="C67" s="135">
        <f>C66/C31</f>
        <v>0.16025397875212735</v>
      </c>
      <c r="D67" s="135">
        <f>D66/D31</f>
        <v>0.10026514470122244</v>
      </c>
      <c r="E67" s="136">
        <f>E66/E31</f>
        <v>3.3159504254900274E-2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t="e">
        <f ca="1">'1.Current Heat'!B24</f>
        <v>#DIV/0!</v>
      </c>
      <c r="C72" s="156" t="e">
        <f ca="1">C49*($B$72-$B$46)+(1-C49)*$B$72</f>
        <v>#DIV/0!</v>
      </c>
      <c r="D72" s="156" t="e">
        <f ca="1">D49*($B$72-$B$46)+(1-D49)*$B$72</f>
        <v>#DIV/0!</v>
      </c>
      <c r="E72" s="157" t="e">
        <f ca="1">E49*($B$72-$B$46)+(1-E49)*$B$72</f>
        <v>#DIV/0!</v>
      </c>
      <c r="G72" s="280" t="s">
        <v>134</v>
      </c>
      <c r="H72" s="280"/>
      <c r="I72" s="280"/>
      <c r="J72" s="280"/>
      <c r="K72" s="280"/>
      <c r="L72" s="280"/>
      <c r="M72" s="280"/>
      <c r="N72" s="280"/>
    </row>
    <row r="73" spans="1:20" ht="56.25" customHeight="1" x14ac:dyDescent="0.25">
      <c r="B73" s="149">
        <f>('LEAP Region'!T4+'LEAP Region'!T5+'LEAP Region'!T9)*1000</f>
        <v>0</v>
      </c>
      <c r="C73" s="150">
        <f>('LEAP Region'!U4+'LEAP Region'!U5+'LEAP Region'!U9)*1000</f>
        <v>0</v>
      </c>
      <c r="D73" s="150">
        <f>('LEAP Region'!V4+'LEAP Region'!V5+'LEAP Region'!V9)*1000</f>
        <v>0</v>
      </c>
      <c r="E73" s="151">
        <f>('LEAP Region'!W4+'LEAP Region'!W5+'LEAP Region'!W9)*1000</f>
        <v>0</v>
      </c>
      <c r="G73" s="281" t="s">
        <v>133</v>
      </c>
      <c r="H73" s="281"/>
      <c r="I73" s="281"/>
      <c r="J73" s="281"/>
      <c r="K73" s="281"/>
      <c r="L73" s="281"/>
      <c r="M73" s="281"/>
      <c r="N73" s="281"/>
    </row>
    <row r="74" spans="1:20" ht="56.25" customHeight="1" x14ac:dyDescent="0.25">
      <c r="B74" s="158" t="e">
        <f ca="1">com_share_state_target*'LEAP Statewide'!T4*1000/'2.Heat Targets'!B73</f>
        <v>#DIV/0!</v>
      </c>
      <c r="C74" s="145" t="e">
        <f ca="1">com_share_state_target*'LEAP Statewide'!U4*1000/'2.Heat Targets'!C73</f>
        <v>#DIV/0!</v>
      </c>
      <c r="D74" s="145" t="e">
        <f ca="1">com_share_state_target*'LEAP Statewide'!V4*1000/'2.Heat Targets'!D73</f>
        <v>#DIV/0!</v>
      </c>
      <c r="E74" s="159" t="e">
        <f ca="1">com_share_state_target*'LEAP Statewide'!W4*1000/'2.Heat Targets'!E73</f>
        <v>#DIV/0!</v>
      </c>
      <c r="G74" s="281" t="s">
        <v>136</v>
      </c>
      <c r="H74" s="281"/>
      <c r="I74" s="281"/>
      <c r="J74" s="281"/>
      <c r="K74" s="281"/>
      <c r="L74" s="281"/>
      <c r="M74" s="281"/>
      <c r="N74" s="281"/>
    </row>
    <row r="75" spans="1:20" ht="56.25" customHeight="1" x14ac:dyDescent="0.25">
      <c r="B75" s="128" t="e">
        <f ca="1">B73/B72</f>
        <v>#DIV/0!</v>
      </c>
      <c r="C75" s="129" t="e">
        <f ca="1">C73/C72</f>
        <v>#DIV/0!</v>
      </c>
      <c r="D75" s="129" t="e">
        <f ca="1">D73/D72</f>
        <v>#DIV/0!</v>
      </c>
      <c r="E75" s="130" t="e">
        <f ca="1">E73/E72</f>
        <v>#DIV/0!</v>
      </c>
      <c r="G75" s="281" t="s">
        <v>135</v>
      </c>
      <c r="H75" s="281"/>
      <c r="I75" s="281"/>
      <c r="J75" s="281"/>
      <c r="K75" s="281"/>
      <c r="L75" s="281"/>
      <c r="M75" s="281"/>
      <c r="N75" s="281"/>
    </row>
    <row r="76" spans="1:20" ht="56.25" customHeight="1" x14ac:dyDescent="0.25">
      <c r="B76" s="134" t="e">
        <f ca="1">B75/B48</f>
        <v>#DIV/0!</v>
      </c>
      <c r="C76" s="135" t="e">
        <f ca="1">C75/C48</f>
        <v>#DIV/0!</v>
      </c>
      <c r="D76" s="135" t="e">
        <f ca="1">D75/D48</f>
        <v>#DIV/0!</v>
      </c>
      <c r="E76" s="136" t="e">
        <f ca="1">E75/E48</f>
        <v>#DIV/0!</v>
      </c>
      <c r="G76" s="281" t="s">
        <v>181</v>
      </c>
      <c r="H76" s="281"/>
      <c r="I76" s="281"/>
      <c r="J76" s="281"/>
      <c r="K76" s="281"/>
      <c r="L76" s="281"/>
      <c r="M76" s="281"/>
      <c r="N76" s="281"/>
    </row>
    <row r="77" spans="1:20" ht="56.25" customHeight="1" x14ac:dyDescent="0.25">
      <c r="B77" s="128">
        <f>'LEAP Region'!T10*1000</f>
        <v>0</v>
      </c>
      <c r="C77" s="129">
        <f>'LEAP Region'!U10*1000</f>
        <v>0</v>
      </c>
      <c r="D77" s="129">
        <f>'LEAP Region'!V10*1000</f>
        <v>0</v>
      </c>
      <c r="E77" s="130">
        <f>'LEAP Region'!W10*1000</f>
        <v>0</v>
      </c>
      <c r="G77" s="281" t="s">
        <v>138</v>
      </c>
      <c r="H77" s="281"/>
      <c r="I77" s="281"/>
      <c r="J77" s="281"/>
      <c r="K77" s="281"/>
      <c r="L77" s="281"/>
      <c r="M77" s="281"/>
      <c r="N77" s="281"/>
    </row>
    <row r="78" spans="1:20" ht="56.25" customHeight="1" x14ac:dyDescent="0.25">
      <c r="B78" s="128" t="e">
        <f ca="1">B77/B72</f>
        <v>#DIV/0!</v>
      </c>
      <c r="C78" s="129" t="e">
        <f ca="1">C77/C72</f>
        <v>#DIV/0!</v>
      </c>
      <c r="D78" s="129" t="e">
        <f ca="1">D77/D72</f>
        <v>#DIV/0!</v>
      </c>
      <c r="E78" s="130" t="e">
        <f ca="1">E77/E72</f>
        <v>#DIV/0!</v>
      </c>
      <c r="G78" s="281" t="s">
        <v>139</v>
      </c>
      <c r="H78" s="281"/>
      <c r="I78" s="281"/>
      <c r="J78" s="281"/>
      <c r="K78" s="281"/>
      <c r="L78" s="281"/>
      <c r="M78" s="281"/>
      <c r="N78" s="281"/>
    </row>
    <row r="79" spans="1:20" ht="56.25" customHeight="1" x14ac:dyDescent="0.25">
      <c r="B79" s="134" t="e">
        <f ca="1">B78/B48</f>
        <v>#DIV/0!</v>
      </c>
      <c r="C79" s="135" t="e">
        <f ca="1">C78/C48</f>
        <v>#DIV/0!</v>
      </c>
      <c r="D79" s="135" t="e">
        <f ca="1">D78/D48</f>
        <v>#DIV/0!</v>
      </c>
      <c r="E79" s="136" t="e">
        <f ca="1">E78/E48</f>
        <v>#DIV/0!</v>
      </c>
      <c r="G79" s="281" t="s">
        <v>141</v>
      </c>
      <c r="H79" s="281"/>
      <c r="I79" s="281"/>
      <c r="J79" s="281"/>
      <c r="K79" s="281"/>
      <c r="L79" s="281"/>
      <c r="M79" s="281"/>
      <c r="N79" s="281"/>
    </row>
    <row r="80" spans="1:20" ht="56.25" customHeight="1" x14ac:dyDescent="0.25">
      <c r="B80" s="149">
        <f>B43</f>
        <v>0</v>
      </c>
      <c r="C80" s="150">
        <f>C43</f>
        <v>0</v>
      </c>
      <c r="D80" s="150">
        <f>D43</f>
        <v>0</v>
      </c>
      <c r="E80" s="151">
        <f>E43</f>
        <v>0</v>
      </c>
      <c r="G80" s="281" t="s">
        <v>142</v>
      </c>
      <c r="H80" s="281"/>
      <c r="I80" s="281"/>
      <c r="J80" s="281"/>
      <c r="K80" s="281"/>
      <c r="L80" s="281"/>
      <c r="M80" s="281"/>
      <c r="N80" s="281"/>
    </row>
    <row r="81" spans="2:14" ht="56.25" customHeight="1" x14ac:dyDescent="0.25">
      <c r="B81" s="128" t="e">
        <f ca="1">B80/((0.7*B72)/2.4)</f>
        <v>#DIV/0!</v>
      </c>
      <c r="C81" s="129" t="e">
        <f ca="1">C80/((0.75*C72)/2.6)</f>
        <v>#DIV/0!</v>
      </c>
      <c r="D81" s="129" t="e">
        <f ca="1">D80/((0.8*D72)/2.8)</f>
        <v>#DIV/0!</v>
      </c>
      <c r="E81" s="130" t="e">
        <f ca="1">E80/((0.85*E72)/3)</f>
        <v>#DIV/0!</v>
      </c>
      <c r="G81" s="281" t="s">
        <v>143</v>
      </c>
      <c r="H81" s="281"/>
      <c r="I81" s="281"/>
      <c r="J81" s="281"/>
      <c r="K81" s="281"/>
      <c r="L81" s="281"/>
      <c r="M81" s="281"/>
      <c r="N81" s="281"/>
    </row>
    <row r="82" spans="2:14" ht="56.25" customHeight="1" x14ac:dyDescent="0.25">
      <c r="B82" s="134" t="e">
        <f ca="1">B81/B48</f>
        <v>#DIV/0!</v>
      </c>
      <c r="C82" s="135" t="e">
        <f ca="1">C81/C48</f>
        <v>#DIV/0!</v>
      </c>
      <c r="D82" s="135" t="e">
        <f ca="1">D81/D48</f>
        <v>#DIV/0!</v>
      </c>
      <c r="E82" s="136" t="e">
        <f ca="1">E81/E48</f>
        <v>#DIV/0!</v>
      </c>
      <c r="G82" s="281" t="s">
        <v>144</v>
      </c>
      <c r="H82" s="281"/>
      <c r="I82" s="281"/>
      <c r="J82" s="281"/>
      <c r="K82" s="281"/>
      <c r="L82" s="281"/>
      <c r="M82" s="281"/>
      <c r="N82" s="281"/>
    </row>
    <row r="83" spans="2:14" ht="56.25" customHeight="1" x14ac:dyDescent="0.25">
      <c r="B83" s="149">
        <f>('LEAP Region'!T7+'LEAP Region'!T8)*1000</f>
        <v>0</v>
      </c>
      <c r="C83" s="150">
        <f>('LEAP Region'!U7+'LEAP Region'!U8)*1000</f>
        <v>0</v>
      </c>
      <c r="D83" s="150">
        <f>('LEAP Region'!V7+'LEAP Region'!V8)*1000</f>
        <v>0</v>
      </c>
      <c r="E83" s="151">
        <f>('LEAP Region'!W7+'LEAP Region'!W8)*1000</f>
        <v>0</v>
      </c>
      <c r="G83" s="281" t="s">
        <v>145</v>
      </c>
      <c r="H83" s="281"/>
      <c r="I83" s="281"/>
      <c r="J83" s="281"/>
      <c r="K83" s="281"/>
      <c r="L83" s="281"/>
      <c r="M83" s="281"/>
      <c r="N83" s="281"/>
    </row>
    <row r="84" spans="2:14" ht="56.25" customHeight="1" x14ac:dyDescent="0.25">
      <c r="B84" s="128" t="e">
        <f ca="1">B83/B72</f>
        <v>#DIV/0!</v>
      </c>
      <c r="C84" s="129" t="e">
        <f ca="1">C83/C72</f>
        <v>#DIV/0!</v>
      </c>
      <c r="D84" s="129" t="e">
        <f ca="1">D83/D72</f>
        <v>#DIV/0!</v>
      </c>
      <c r="E84" s="130" t="e">
        <f ca="1">E83/E72</f>
        <v>#DIV/0!</v>
      </c>
      <c r="G84" s="281" t="s">
        <v>147</v>
      </c>
      <c r="H84" s="281"/>
      <c r="I84" s="281"/>
      <c r="J84" s="281"/>
      <c r="K84" s="281"/>
      <c r="L84" s="281"/>
      <c r="M84" s="281"/>
      <c r="N84" s="281"/>
    </row>
    <row r="85" spans="2:14" ht="56.25" customHeight="1" x14ac:dyDescent="0.25">
      <c r="B85" s="134" t="e">
        <f ca="1">B84/B48</f>
        <v>#DIV/0!</v>
      </c>
      <c r="C85" s="135" t="e">
        <f ca="1">C84/C48</f>
        <v>#DIV/0!</v>
      </c>
      <c r="D85" s="135" t="e">
        <f ca="1">D84/D48</f>
        <v>#DIV/0!</v>
      </c>
      <c r="E85" s="136" t="e">
        <f ca="1">E84/E48</f>
        <v>#DIV/0!</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7" sqref="F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3.9069767441860463</v>
      </c>
      <c r="C18" s="129">
        <f>'LEAP Region'!I26*1000</f>
        <v>106.7906976744186</v>
      </c>
      <c r="D18" s="129">
        <f>'LEAP Region'!J26*1000</f>
        <v>309.95348837209303</v>
      </c>
      <c r="E18" s="130">
        <f>'LEAP Region'!K26*1000</f>
        <v>600.37209302325573</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0.27481665258049565</v>
      </c>
      <c r="C20" s="129">
        <f>IF($F$22="adj",'1.Current Trans'!$O$13*C18/C19,C18/C19)</f>
        <v>8.1945329133093239</v>
      </c>
      <c r="D20" s="129">
        <f>IF($F$22="adj",'1.Current Trans'!$O$13*D18/D19,D18/D19)</f>
        <v>26.162545325663192</v>
      </c>
      <c r="E20" s="130">
        <f>IF($F$22="adj",'1.Current Trans'!$O$13*E18/E19,E18/E19)</f>
        <v>56.306878595381548</v>
      </c>
      <c r="G20" s="303" t="s">
        <v>106</v>
      </c>
      <c r="H20" s="303"/>
      <c r="I20" s="303"/>
      <c r="J20" s="303"/>
      <c r="K20" s="303"/>
      <c r="L20" s="303"/>
      <c r="M20" s="303"/>
      <c r="N20" s="303"/>
    </row>
    <row r="21" spans="2:22" ht="54.75" customHeight="1" x14ac:dyDescent="0.25">
      <c r="B21" s="131">
        <f>'1.Current Trans'!B9+'1.Current Trans'!B32</f>
        <v>77</v>
      </c>
      <c r="C21" s="132">
        <f>B21*1.125</f>
        <v>86.625</v>
      </c>
      <c r="D21" s="132">
        <f t="shared" ref="D21:E21" si="0">C21*1.125</f>
        <v>97.453125</v>
      </c>
      <c r="E21" s="133">
        <f t="shared" si="0"/>
        <v>109.634765625</v>
      </c>
      <c r="G21" s="303" t="s">
        <v>189</v>
      </c>
      <c r="H21" s="303"/>
      <c r="I21" s="303"/>
      <c r="J21" s="303"/>
      <c r="K21" s="303"/>
      <c r="L21" s="303"/>
      <c r="M21" s="303"/>
      <c r="N21" s="303"/>
      <c r="O21" s="186">
        <f>(E21/B21)^(1/(E17-B17))-1</f>
        <v>1.014682216717655E-2</v>
      </c>
    </row>
    <row r="22" spans="2:22" ht="54.75" customHeight="1" x14ac:dyDescent="0.25">
      <c r="B22" s="134">
        <f>B20/B21</f>
        <v>3.5690474361103333E-3</v>
      </c>
      <c r="C22" s="135">
        <f>C20/C21</f>
        <v>9.4597782549025386E-2</v>
      </c>
      <c r="D22" s="135">
        <f>D20/D21</f>
        <v>0.2684628668979388</v>
      </c>
      <c r="E22" s="136">
        <f>E20/E21</f>
        <v>0.51358598045419546</v>
      </c>
      <c r="F22" s="54" t="s">
        <v>545</v>
      </c>
      <c r="G22" s="303" t="s">
        <v>191</v>
      </c>
      <c r="H22" s="303"/>
      <c r="I22" s="303"/>
      <c r="J22" s="303"/>
      <c r="K22" s="303"/>
      <c r="L22" s="303"/>
      <c r="M22" s="303"/>
      <c r="N22" s="303"/>
    </row>
    <row r="23" spans="2:22" ht="54.75" customHeight="1" x14ac:dyDescent="0.25">
      <c r="B23" s="166">
        <f>('LEAP Region'!H24+'LEAP Region'!H25+'LEAP Region'!H27+'LEAP Region'!H28)*1000</f>
        <v>4452.6511627906966</v>
      </c>
      <c r="C23" s="167">
        <f>('LEAP Region'!I24+'LEAP Region'!I25+'LEAP Region'!I27+'LEAP Region'!I28)*1000</f>
        <v>3194.6046511627906</v>
      </c>
      <c r="D23" s="167">
        <f>('LEAP Region'!J24+'LEAP Region'!J25+'LEAP Region'!J27+'LEAP Region'!J28)*1000</f>
        <v>1824.5581395348836</v>
      </c>
      <c r="E23" s="168">
        <f>('LEAP Region'!K24+'LEAP Region'!K25+'LEAP Region'!K27+'LEAP Region'!K28)*1000</f>
        <v>253.95348837209303</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0.12047528891144013</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0.52808334972847903</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66.429800019400219</v>
      </c>
      <c r="C26" s="129">
        <f>IF($F$22="adj",'1.Current Trans'!$O$13*C23/C25,C23/C25)</f>
        <v>55.736337294615332</v>
      </c>
      <c r="D26" s="129">
        <f>IF($F$22="adj",'1.Current Trans'!$O$13*D23/D25,D23/D25)</f>
        <v>38.327166924875478</v>
      </c>
      <c r="E26" s="130">
        <f>IF($F$22="adj",'1.Current Trans'!$O$13*E23/E25,E23/E25)</f>
        <v>6.7018078138084984</v>
      </c>
      <c r="G26" s="303" t="s">
        <v>107</v>
      </c>
      <c r="H26" s="303"/>
      <c r="I26" s="303"/>
      <c r="J26" s="303"/>
      <c r="K26" s="303"/>
      <c r="L26" s="303"/>
      <c r="M26" s="303"/>
      <c r="N26" s="303"/>
    </row>
    <row r="27" spans="2:22" ht="54.75" customHeight="1" x14ac:dyDescent="0.25">
      <c r="B27" s="134">
        <f>B26/B21</f>
        <v>0.86272467557662624</v>
      </c>
      <c r="C27" s="135">
        <f>C26/C21</f>
        <v>0.64342092114996052</v>
      </c>
      <c r="D27" s="135">
        <f>D26/D21</f>
        <v>0.39328822882668441</v>
      </c>
      <c r="E27" s="136">
        <f>E26/E21</f>
        <v>6.1128491273759661E-2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15627.906976744185</v>
      </c>
      <c r="C5" s="172">
        <f>'LEAP Region'!C49*1000000</f>
        <v>72930.232558139527</v>
      </c>
      <c r="D5" s="172">
        <f>'LEAP Region'!D49*1000000</f>
        <v>114604.65116279069</v>
      </c>
      <c r="E5" s="173">
        <f>'LEAP Region'!E49*1000000</f>
        <v>167999.99999999997</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3.005366726296959</v>
      </c>
      <c r="C7" s="172">
        <f>C5/13/$B$6</f>
        <v>14.025044722719139</v>
      </c>
      <c r="D7" s="172">
        <f>D5/13/$B$6</f>
        <v>22.039355992844364</v>
      </c>
      <c r="E7" s="172">
        <f>E5/13/$B$6</f>
        <v>32.307692307692299</v>
      </c>
      <c r="G7" s="281" t="s">
        <v>185</v>
      </c>
      <c r="H7" s="281"/>
      <c r="I7" s="281"/>
      <c r="J7" s="281"/>
      <c r="K7" s="281"/>
      <c r="L7" s="281"/>
      <c r="M7" s="281"/>
      <c r="N7" s="281"/>
    </row>
    <row r="8" spans="2:14" s="126" customFormat="1" ht="45" customHeight="1" x14ac:dyDescent="0.2">
      <c r="B8" s="36">
        <f>'2.Heat Targets'!B31*1.5</f>
        <v>54</v>
      </c>
      <c r="C8" s="36">
        <f>'2.Heat Targets'!C31*1.5</f>
        <v>57.240000000000009</v>
      </c>
      <c r="D8" s="36">
        <f>'2.Heat Targets'!D31*1.5</f>
        <v>60.674400000000006</v>
      </c>
      <c r="E8" s="36">
        <f>'2.Heat Targets'!E31*1.5</f>
        <v>64.314864000000014</v>
      </c>
      <c r="G8" s="281" t="s">
        <v>187</v>
      </c>
      <c r="H8" s="281"/>
      <c r="I8" s="281"/>
      <c r="J8" s="281"/>
      <c r="K8" s="281"/>
      <c r="L8" s="281"/>
      <c r="M8" s="281"/>
      <c r="N8" s="281"/>
    </row>
    <row r="9" spans="2:14" s="126" customFormat="1" ht="45" customHeight="1" x14ac:dyDescent="0.2">
      <c r="B9" s="174">
        <f>B7/B8</f>
        <v>5.5654939375869614E-2</v>
      </c>
      <c r="C9" s="175">
        <f>C7/C8</f>
        <v>0.24502174567992901</v>
      </c>
      <c r="D9" s="175">
        <f>D7/D8</f>
        <v>0.36323978470070345</v>
      </c>
      <c r="E9" s="176">
        <f>E7/E8</f>
        <v>0.50233632318171884</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22" zoomScale="70" zoomScaleNormal="70" workbookViewId="0">
      <selection activeCell="E50" sqref="E50"/>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1.7000000000000001E-2</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238.00000000000003</v>
      </c>
      <c r="O19" s="224">
        <f>I4*$R$16*1000</f>
        <v>850.00000000000011</v>
      </c>
      <c r="P19" s="224">
        <f>J4*$R$16*1000</f>
        <v>1394.0000000000002</v>
      </c>
      <c r="Q19" s="224">
        <f>K4*$R$16*1000</f>
        <v>2159.0000000000005</v>
      </c>
    </row>
    <row r="20" spans="1:17" x14ac:dyDescent="0.25">
      <c r="B20" s="21"/>
      <c r="C20" s="21"/>
      <c r="D20" s="21"/>
      <c r="E20" s="21"/>
      <c r="H20" s="23"/>
      <c r="I20" s="23"/>
      <c r="J20" s="23"/>
      <c r="K20" s="23"/>
      <c r="L20" s="22"/>
      <c r="M20" s="222" t="s">
        <v>3</v>
      </c>
      <c r="N20" s="224">
        <f t="shared" ref="N20:N28" si="0">H5*$R$16*1000</f>
        <v>31603</v>
      </c>
      <c r="O20" s="224">
        <f t="shared" ref="O20:O28" si="1">I5*$R$16*1000</f>
        <v>24990.000000000004</v>
      </c>
      <c r="P20" s="224">
        <f t="shared" ref="P20:P28" si="2">J5*$R$16*1000</f>
        <v>19176.000000000004</v>
      </c>
      <c r="Q20" s="224">
        <f t="shared" ref="Q20:Q28" si="3">K5*$R$16*1000</f>
        <v>12750.000000000002</v>
      </c>
    </row>
    <row r="21" spans="1:17" x14ac:dyDescent="0.25">
      <c r="L21" s="22"/>
      <c r="M21" s="222" t="s">
        <v>548</v>
      </c>
      <c r="N21" s="224">
        <f t="shared" si="0"/>
        <v>3519</v>
      </c>
      <c r="O21" s="224">
        <f t="shared" si="1"/>
        <v>3179.0000000000005</v>
      </c>
      <c r="P21" s="224">
        <f t="shared" si="2"/>
        <v>1734.0000000000002</v>
      </c>
      <c r="Q21" s="224">
        <f t="shared" si="3"/>
        <v>527</v>
      </c>
    </row>
    <row r="22" spans="1:17" ht="33.75" customHeight="1" x14ac:dyDescent="0.25">
      <c r="A22" s="231" t="s">
        <v>472</v>
      </c>
      <c r="B22" s="232"/>
      <c r="C22" s="232"/>
      <c r="D22" s="232"/>
      <c r="E22" s="233"/>
      <c r="G22" s="231" t="s">
        <v>473</v>
      </c>
      <c r="H22" s="232"/>
      <c r="I22" s="232"/>
      <c r="J22" s="232"/>
      <c r="K22" s="233"/>
      <c r="L22" s="22"/>
      <c r="M22" s="222" t="s">
        <v>5</v>
      </c>
      <c r="N22" s="224">
        <f t="shared" si="0"/>
        <v>391</v>
      </c>
      <c r="O22" s="224">
        <f t="shared" si="1"/>
        <v>1870</v>
      </c>
      <c r="P22" s="224">
        <f t="shared" si="2"/>
        <v>3825</v>
      </c>
      <c r="Q22" s="224">
        <f t="shared" si="3"/>
        <v>4590.0000000000009</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272</v>
      </c>
      <c r="O23" s="224">
        <f t="shared" si="1"/>
        <v>782</v>
      </c>
      <c r="P23" s="224">
        <f t="shared" si="2"/>
        <v>1530</v>
      </c>
      <c r="Q23" s="224">
        <f t="shared" si="3"/>
        <v>2142.0000000000005</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2040</v>
      </c>
      <c r="O24" s="224">
        <f t="shared" si="1"/>
        <v>2363</v>
      </c>
      <c r="P24" s="224">
        <f t="shared" si="2"/>
        <v>2737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12019</v>
      </c>
      <c r="O25" s="224">
        <f t="shared" si="1"/>
        <v>9401</v>
      </c>
      <c r="P25" s="224">
        <f t="shared" si="2"/>
        <v>6018.0000000000009</v>
      </c>
      <c r="Q25" s="224">
        <f t="shared" si="3"/>
        <v>2108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28798</v>
      </c>
      <c r="O27" s="224">
        <f t="shared" si="1"/>
        <v>19346</v>
      </c>
      <c r="P27" s="224">
        <f t="shared" si="2"/>
        <v>10217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5372.0000000000009</v>
      </c>
      <c r="O28" s="224">
        <f t="shared" si="1"/>
        <v>6001</v>
      </c>
      <c r="P28" s="224">
        <f t="shared" si="2"/>
        <v>5389</v>
      </c>
      <c r="Q28" s="224">
        <f t="shared" si="3"/>
        <v>5032</v>
      </c>
    </row>
    <row r="29" spans="1:17" x14ac:dyDescent="0.25">
      <c r="A29" s="6" t="s">
        <v>24</v>
      </c>
      <c r="B29" s="18">
        <v>0</v>
      </c>
      <c r="C29" s="18">
        <v>0</v>
      </c>
      <c r="D29" s="18">
        <v>0</v>
      </c>
      <c r="E29" s="19">
        <v>0</v>
      </c>
      <c r="G29" s="1" t="s">
        <v>24</v>
      </c>
      <c r="H29" s="4">
        <v>0</v>
      </c>
      <c r="I29" s="4">
        <v>0</v>
      </c>
      <c r="J29" s="4">
        <v>0</v>
      </c>
      <c r="K29" s="5">
        <v>0</v>
      </c>
      <c r="M29" s="222" t="s">
        <v>550</v>
      </c>
      <c r="N29" s="225">
        <f>(B14-H14)*$R$16*1000</f>
        <v>2227.0000000000005</v>
      </c>
      <c r="O29" s="225">
        <f t="shared" ref="O29:Q29" si="4">(C14-I14)*$R$16*1000</f>
        <v>3723.0000000000005</v>
      </c>
      <c r="P29" s="225">
        <f t="shared" si="4"/>
        <v>7888.0000000000009</v>
      </c>
      <c r="Q29" s="225">
        <f t="shared" si="4"/>
        <v>11577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1.9E-2</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152</v>
      </c>
      <c r="O51" s="223">
        <f t="shared" ref="O51:Q57" si="5">U4*$Q$48*1000</f>
        <v>930.99999999999989</v>
      </c>
      <c r="P51" s="223">
        <f t="shared" si="5"/>
        <v>1748</v>
      </c>
      <c r="Q51" s="223">
        <f t="shared" si="5"/>
        <v>3116</v>
      </c>
    </row>
    <row r="52" spans="1:17" x14ac:dyDescent="0.25">
      <c r="M52" s="223" t="s">
        <v>14</v>
      </c>
      <c r="N52" s="223">
        <f t="shared" ref="N52:N57" si="6">T5*$Q$48*1000</f>
        <v>7752</v>
      </c>
      <c r="O52" s="223">
        <f t="shared" si="5"/>
        <v>5776</v>
      </c>
      <c r="P52" s="223">
        <f t="shared" si="5"/>
        <v>3553</v>
      </c>
      <c r="Q52" s="223">
        <f t="shared" si="5"/>
        <v>19</v>
      </c>
    </row>
    <row r="53" spans="1:17" x14ac:dyDescent="0.25">
      <c r="M53" s="223" t="s">
        <v>15</v>
      </c>
      <c r="N53" s="223">
        <f t="shared" si="6"/>
        <v>14136</v>
      </c>
      <c r="O53" s="223">
        <f t="shared" si="5"/>
        <v>14003</v>
      </c>
      <c r="P53" s="223">
        <f t="shared" si="5"/>
        <v>13565.999999999998</v>
      </c>
      <c r="Q53" s="223">
        <f t="shared" si="5"/>
        <v>13148</v>
      </c>
    </row>
    <row r="54" spans="1:17" x14ac:dyDescent="0.25">
      <c r="M54" s="223" t="s">
        <v>8</v>
      </c>
      <c r="N54" s="223">
        <f t="shared" si="6"/>
        <v>5681</v>
      </c>
      <c r="O54" s="223">
        <f t="shared" si="5"/>
        <v>4902</v>
      </c>
      <c r="P54" s="223">
        <f t="shared" si="5"/>
        <v>3971</v>
      </c>
      <c r="Q54" s="223">
        <f t="shared" si="5"/>
        <v>2527</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797.99999999999989</v>
      </c>
      <c r="O56" s="223">
        <f t="shared" si="5"/>
        <v>589</v>
      </c>
      <c r="P56" s="223">
        <f t="shared" si="5"/>
        <v>361</v>
      </c>
      <c r="Q56" s="223">
        <f t="shared" si="5"/>
        <v>0</v>
      </c>
    </row>
    <row r="57" spans="1:17" x14ac:dyDescent="0.25">
      <c r="M57" s="223" t="s">
        <v>17</v>
      </c>
      <c r="N57" s="223">
        <f t="shared" si="6"/>
        <v>2679</v>
      </c>
      <c r="O57" s="223">
        <f t="shared" si="5"/>
        <v>3667</v>
      </c>
      <c r="P57" s="223">
        <f t="shared" si="5"/>
        <v>4636</v>
      </c>
      <c r="Q57" s="223">
        <f t="shared" si="5"/>
        <v>6308</v>
      </c>
    </row>
    <row r="58" spans="1:17" x14ac:dyDescent="0.25">
      <c r="M58" s="223" t="s">
        <v>550</v>
      </c>
      <c r="N58" s="223">
        <f>(N11-T11)*$Q$48*1000</f>
        <v>266</v>
      </c>
      <c r="O58" s="223">
        <f>(O11-U11)*$Q$48*1000</f>
        <v>1653</v>
      </c>
      <c r="P58" s="223">
        <f t="shared" ref="P58:Q58" si="7">(P11-V11)*$Q$48*1000</f>
        <v>3135</v>
      </c>
      <c r="Q58" s="223">
        <f t="shared" si="7"/>
        <v>5567</v>
      </c>
    </row>
    <row r="60" spans="1:17" ht="15.75" thickBot="1" x14ac:dyDescent="0.3"/>
    <row r="61" spans="1:17" ht="15.75" thickBot="1" x14ac:dyDescent="0.3">
      <c r="N61" t="s">
        <v>572</v>
      </c>
      <c r="Q61" s="229">
        <v>1.9E-2</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55537</v>
      </c>
      <c r="O64" s="223">
        <f t="shared" ref="O64:Q68" si="8">I24*$Q$61*1000</f>
        <v>39786</v>
      </c>
      <c r="P64" s="223">
        <f t="shared" si="8"/>
        <v>22154</v>
      </c>
      <c r="Q64" s="223">
        <f t="shared" si="8"/>
        <v>1728.9999999999998</v>
      </c>
    </row>
    <row r="65" spans="13:17" x14ac:dyDescent="0.25">
      <c r="M65" s="223" t="s">
        <v>22</v>
      </c>
      <c r="N65" s="223">
        <f t="shared" ref="N65:N68" si="9">H25*$Q$61*1000</f>
        <v>7410</v>
      </c>
      <c r="O65" s="223">
        <f t="shared" si="8"/>
        <v>4939.9999999999991</v>
      </c>
      <c r="P65" s="223">
        <f t="shared" si="8"/>
        <v>2679</v>
      </c>
      <c r="Q65" s="223">
        <f t="shared" si="8"/>
        <v>304</v>
      </c>
    </row>
    <row r="66" spans="13:17" x14ac:dyDescent="0.25">
      <c r="M66" s="223" t="s">
        <v>23</v>
      </c>
      <c r="N66" s="223">
        <f t="shared" si="9"/>
        <v>56.999999999999993</v>
      </c>
      <c r="O66" s="223">
        <f t="shared" si="8"/>
        <v>1558</v>
      </c>
      <c r="P66" s="223">
        <f t="shared" si="8"/>
        <v>4522</v>
      </c>
      <c r="Q66" s="223">
        <f t="shared" si="8"/>
        <v>8759</v>
      </c>
    </row>
    <row r="67" spans="13:17" x14ac:dyDescent="0.25">
      <c r="M67" s="223" t="s">
        <v>20</v>
      </c>
      <c r="N67" s="223">
        <f t="shared" si="9"/>
        <v>1861.9999999999998</v>
      </c>
      <c r="O67" s="223">
        <f t="shared" si="8"/>
        <v>1159</v>
      </c>
      <c r="P67" s="223">
        <f t="shared" si="8"/>
        <v>627</v>
      </c>
      <c r="Q67" s="223">
        <f t="shared" si="8"/>
        <v>19</v>
      </c>
    </row>
    <row r="68" spans="13:17" x14ac:dyDescent="0.25">
      <c r="M68" s="223" t="s">
        <v>18</v>
      </c>
      <c r="N68" s="223">
        <f t="shared" si="9"/>
        <v>152</v>
      </c>
      <c r="O68" s="223">
        <f t="shared" si="8"/>
        <v>722</v>
      </c>
      <c r="P68" s="223">
        <f t="shared" si="8"/>
        <v>1159</v>
      </c>
      <c r="Q68" s="223">
        <f t="shared" si="8"/>
        <v>1653</v>
      </c>
    </row>
    <row r="69" spans="13:17" x14ac:dyDescent="0.25">
      <c r="M69" s="230" t="s">
        <v>550</v>
      </c>
      <c r="O69">
        <f t="shared" ref="O69:Q69" si="10">(C30-I30)*$Q$61*1000</f>
        <v>5016</v>
      </c>
      <c r="P69">
        <f t="shared" si="10"/>
        <v>14516</v>
      </c>
      <c r="Q69">
        <f t="shared" si="10"/>
        <v>26258</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2017-05-12T19:14:46Z</dcterms:modified>
</cp:coreProperties>
</file>