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codeName="ThisWorkbook" checkCompatibility="1"/>
  <mc:AlternateContent xmlns:mc="http://schemas.openxmlformats.org/markup-compatibility/2006">
    <mc:Choice Requires="x15">
      <x15ac:absPath xmlns:x15ac="http://schemas.microsoft.com/office/spreadsheetml/2010/11/ac" url="S:\Move_to_Shared\Region\Energy\Act 174 Data\Town Data\Brunswick\"/>
    </mc:Choice>
  </mc:AlternateContent>
  <bookViews>
    <workbookView xWindow="0" yWindow="0" windowWidth="28800" windowHeight="11610" tabRatio="838" firstSheet="1" activeTab="1"/>
  </bookViews>
  <sheets>
    <sheet name="Formatting" sheetId="34" state="hidden" r:id="rId1"/>
    <sheet name="Instructions" sheetId="192" r:id="rId2"/>
    <sheet name="1.Current Trans" sheetId="185" r:id="rId3"/>
    <sheet name="1.Current Heat" sheetId="186" r:id="rId4"/>
    <sheet name="2.Heat Targets" sheetId="188" r:id="rId5"/>
    <sheet name="2.Trans Targets" sheetId="189" r:id="rId6"/>
    <sheet name="2.Electric Targets" sheetId="190" r:id="rId7"/>
    <sheet name="LEAP Scenario" sheetId="198" r:id="rId8"/>
    <sheet name="LEAP Statewide" sheetId="171" state="hidden" r:id="rId9"/>
    <sheet name="LEAP Town" sheetId="196" state="hidden" r:id="rId10"/>
    <sheet name="LEAP Region" sheetId="199" state="hidden" r:id="rId11"/>
    <sheet name="Exchange Example" sheetId="193" r:id="rId12"/>
    <sheet name="Population" sheetId="194" r:id="rId13"/>
    <sheet name="Establishments" sheetId="197" r:id="rId14"/>
    <sheet name="Residential Units" sheetId="201" r:id="rId15"/>
  </sheets>
  <definedNames>
    <definedName name="com_share_region_target">Instructions!$I$15</definedName>
    <definedName name="com_share_state_target">'1.Current Heat'!$B$45</definedName>
    <definedName name="COP">2.5</definedName>
    <definedName name="fossilBtu">(0.95*120400)+(0.05*137570)</definedName>
    <definedName name="res_share_region_target">Instructions!$I$12</definedName>
    <definedName name="res_share_state_target">Instructions!$I$11</definedName>
    <definedName name="selected_town">Instructions!$I$10</definedName>
    <definedName name="VTpopulation2013">627129</definedName>
    <definedName name="VTpopulation2014">626767</definedName>
    <definedName name="VTpopulation2015">626042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5" i="198" l="1"/>
  <c r="Q66" i="198"/>
  <c r="Q67" i="198"/>
  <c r="Q68" i="198"/>
  <c r="P65" i="198"/>
  <c r="P66" i="198"/>
  <c r="P67" i="198"/>
  <c r="P68" i="198"/>
  <c r="O65" i="198"/>
  <c r="O66" i="198"/>
  <c r="O67" i="198"/>
  <c r="O68" i="198"/>
  <c r="N65" i="198"/>
  <c r="N66" i="198"/>
  <c r="N67" i="198"/>
  <c r="N68" i="198"/>
  <c r="O64" i="198"/>
  <c r="P64" i="198"/>
  <c r="Q64" i="198"/>
  <c r="N64" i="198"/>
  <c r="O57" i="198"/>
  <c r="P57" i="198"/>
  <c r="Q57" i="198"/>
  <c r="O56" i="198"/>
  <c r="P56" i="198"/>
  <c r="Q56" i="198"/>
  <c r="O55" i="198"/>
  <c r="P55" i="198"/>
  <c r="Q55" i="198"/>
  <c r="O54" i="198"/>
  <c r="P54" i="198"/>
  <c r="Q54" i="198"/>
  <c r="O53" i="198"/>
  <c r="P53" i="198"/>
  <c r="Q53" i="198"/>
  <c r="O52" i="198"/>
  <c r="P52" i="198"/>
  <c r="Q52" i="198"/>
  <c r="O51" i="198"/>
  <c r="P51" i="198"/>
  <c r="Q51" i="198"/>
  <c r="N52" i="198"/>
  <c r="N53" i="198"/>
  <c r="N54" i="198"/>
  <c r="N55" i="198"/>
  <c r="N56" i="198"/>
  <c r="N57" i="198"/>
  <c r="N51" i="198"/>
  <c r="D57" i="201"/>
  <c r="G57" i="201" s="1"/>
  <c r="D56" i="201"/>
  <c r="G56" i="201" s="1"/>
  <c r="D55" i="201"/>
  <c r="G55" i="201" s="1"/>
  <c r="D54" i="201"/>
  <c r="G54" i="201" s="1"/>
  <c r="D53" i="201"/>
  <c r="G53" i="201" s="1"/>
  <c r="D52" i="201"/>
  <c r="G52" i="201" s="1"/>
  <c r="D51" i="201"/>
  <c r="G51" i="201" s="1"/>
  <c r="D50" i="201"/>
  <c r="G50" i="201" s="1"/>
  <c r="D49" i="201"/>
  <c r="G49" i="201" s="1"/>
  <c r="D48" i="201"/>
  <c r="G48" i="201" s="1"/>
  <c r="D47" i="201"/>
  <c r="G47" i="201" s="1"/>
  <c r="D46" i="201"/>
  <c r="G46" i="201" s="1"/>
  <c r="D45" i="201"/>
  <c r="G45" i="201" s="1"/>
  <c r="D44" i="201"/>
  <c r="G44" i="201" s="1"/>
  <c r="D43" i="201"/>
  <c r="G43" i="201" s="1"/>
  <c r="D42" i="201"/>
  <c r="G42" i="201" s="1"/>
  <c r="D41" i="201"/>
  <c r="G41" i="201" s="1"/>
  <c r="D40" i="201"/>
  <c r="G40" i="201" s="1"/>
  <c r="D39" i="201"/>
  <c r="G39" i="201" s="1"/>
  <c r="D38" i="201"/>
  <c r="G38" i="201" s="1"/>
  <c r="D37" i="201"/>
  <c r="G37" i="201" s="1"/>
  <c r="D36" i="201"/>
  <c r="G36" i="201" s="1"/>
  <c r="D35" i="201"/>
  <c r="G35" i="201" s="1"/>
  <c r="D34" i="201"/>
  <c r="G34" i="201" s="1"/>
  <c r="D33" i="201"/>
  <c r="G33" i="201" s="1"/>
  <c r="D32" i="201"/>
  <c r="G32" i="201" s="1"/>
  <c r="D31" i="201"/>
  <c r="G31" i="201" s="1"/>
  <c r="D30" i="201"/>
  <c r="G30" i="201" s="1"/>
  <c r="D29" i="201"/>
  <c r="G29" i="201" s="1"/>
  <c r="D28" i="201"/>
  <c r="G28" i="201" s="1"/>
  <c r="D27" i="201"/>
  <c r="G27" i="201" s="1"/>
  <c r="D26" i="201"/>
  <c r="G26" i="201" s="1"/>
  <c r="D25" i="201"/>
  <c r="G25" i="201" s="1"/>
  <c r="D24" i="201"/>
  <c r="G24" i="201" s="1"/>
  <c r="D23" i="201"/>
  <c r="G23" i="201" s="1"/>
  <c r="D22" i="201"/>
  <c r="G22" i="201" s="1"/>
  <c r="G21" i="201"/>
  <c r="D21" i="201"/>
  <c r="D20" i="201"/>
  <c r="D19" i="201"/>
  <c r="G19" i="201" s="1"/>
  <c r="G18" i="201"/>
  <c r="D18" i="201"/>
  <c r="D17" i="201"/>
  <c r="G17" i="201" s="1"/>
  <c r="D16" i="201"/>
  <c r="D15" i="201"/>
  <c r="G15" i="201" s="1"/>
  <c r="D14" i="201"/>
  <c r="G14" i="201" s="1"/>
  <c r="D13" i="201"/>
  <c r="G13" i="201" s="1"/>
  <c r="D12" i="201"/>
  <c r="D11" i="201"/>
  <c r="G11" i="201" s="1"/>
  <c r="D10" i="201"/>
  <c r="G10" i="201" s="1"/>
  <c r="D9" i="201"/>
  <c r="G9" i="201" s="1"/>
  <c r="D8" i="201"/>
  <c r="E5" i="201"/>
  <c r="E4" i="201"/>
  <c r="D3" i="201"/>
  <c r="E3" i="201" s="1"/>
  <c r="E34" i="201" s="1"/>
  <c r="C3" i="201"/>
  <c r="B3" i="201"/>
  <c r="E17" i="201" l="1"/>
  <c r="E26" i="201"/>
  <c r="E10" i="201"/>
  <c r="H10" i="201" s="1"/>
  <c r="G8" i="201"/>
  <c r="E8" i="201"/>
  <c r="E56" i="201"/>
  <c r="E54" i="201"/>
  <c r="E52" i="201"/>
  <c r="H52" i="201" s="1"/>
  <c r="E50" i="201"/>
  <c r="H50" i="201" s="1"/>
  <c r="E48" i="201"/>
  <c r="E46" i="201"/>
  <c r="E44" i="201"/>
  <c r="H44" i="201" s="1"/>
  <c r="E42" i="201"/>
  <c r="H42" i="201" s="1"/>
  <c r="E13" i="201"/>
  <c r="G20" i="201"/>
  <c r="H20" i="201" s="1"/>
  <c r="E20" i="201"/>
  <c r="E22" i="201"/>
  <c r="E24" i="201"/>
  <c r="H24" i="201" s="1"/>
  <c r="E32" i="201"/>
  <c r="H32" i="201" s="1"/>
  <c r="E40" i="201"/>
  <c r="E9" i="201"/>
  <c r="H9" i="201" s="1"/>
  <c r="G16" i="201"/>
  <c r="E16" i="201"/>
  <c r="E18" i="201"/>
  <c r="H18" i="201" s="1"/>
  <c r="H22" i="201"/>
  <c r="E30" i="201"/>
  <c r="E38" i="201"/>
  <c r="G12" i="201"/>
  <c r="E12" i="201"/>
  <c r="E14" i="201"/>
  <c r="H14" i="201" s="1"/>
  <c r="E21" i="201"/>
  <c r="H21" i="201" s="1"/>
  <c r="E28" i="201"/>
  <c r="H28" i="201" s="1"/>
  <c r="E36" i="201"/>
  <c r="H13" i="201"/>
  <c r="H17" i="201"/>
  <c r="H35" i="201"/>
  <c r="H51" i="201"/>
  <c r="E11" i="201"/>
  <c r="H11" i="201" s="1"/>
  <c r="E15" i="201"/>
  <c r="H15" i="201" s="1"/>
  <c r="E19" i="201"/>
  <c r="H19" i="201" s="1"/>
  <c r="E23" i="201"/>
  <c r="H23" i="201" s="1"/>
  <c r="E25" i="201"/>
  <c r="H25" i="201" s="1"/>
  <c r="E27" i="201"/>
  <c r="H27" i="201" s="1"/>
  <c r="E29" i="201"/>
  <c r="H29" i="201" s="1"/>
  <c r="E31" i="201"/>
  <c r="H31" i="201" s="1"/>
  <c r="E33" i="201"/>
  <c r="H33" i="201" s="1"/>
  <c r="E35" i="201"/>
  <c r="E37" i="201"/>
  <c r="H37" i="201" s="1"/>
  <c r="E39" i="201"/>
  <c r="H39" i="201" s="1"/>
  <c r="E41" i="201"/>
  <c r="H41" i="201" s="1"/>
  <c r="E43" i="201"/>
  <c r="H43" i="201" s="1"/>
  <c r="E45" i="201"/>
  <c r="H45" i="201" s="1"/>
  <c r="E47" i="201"/>
  <c r="H47" i="201" s="1"/>
  <c r="E49" i="201"/>
  <c r="H49" i="201" s="1"/>
  <c r="E51" i="201"/>
  <c r="E53" i="201"/>
  <c r="H53" i="201" s="1"/>
  <c r="E55" i="201"/>
  <c r="H55" i="201" s="1"/>
  <c r="E57" i="201"/>
  <c r="H57" i="201" s="1"/>
  <c r="H26" i="201"/>
  <c r="H30" i="201"/>
  <c r="H34" i="201"/>
  <c r="H36" i="201"/>
  <c r="H38" i="201"/>
  <c r="H40" i="201"/>
  <c r="H46" i="201"/>
  <c r="H48" i="201"/>
  <c r="H54" i="201"/>
  <c r="H56" i="201"/>
  <c r="H16" i="201" l="1"/>
  <c r="H12" i="201"/>
  <c r="H8" i="201"/>
  <c r="H58" i="201" s="1"/>
  <c r="Q20" i="198" l="1"/>
  <c r="Q21" i="198"/>
  <c r="Q22" i="198"/>
  <c r="Q23" i="198"/>
  <c r="Q24" i="198"/>
  <c r="Q25" i="198"/>
  <c r="Q26" i="198"/>
  <c r="Q27" i="198"/>
  <c r="Q28" i="198"/>
  <c r="Q19" i="198"/>
  <c r="P19" i="198"/>
  <c r="P20" i="198"/>
  <c r="P21" i="198"/>
  <c r="P22" i="198"/>
  <c r="P23" i="198"/>
  <c r="P24" i="198"/>
  <c r="P25" i="198"/>
  <c r="P26" i="198"/>
  <c r="P27" i="198"/>
  <c r="P28" i="198"/>
  <c r="O20" i="198"/>
  <c r="O21" i="198"/>
  <c r="O22" i="198"/>
  <c r="O23" i="198"/>
  <c r="O24" i="198"/>
  <c r="O25" i="198"/>
  <c r="O26" i="198"/>
  <c r="O27" i="198"/>
  <c r="O28" i="198"/>
  <c r="O19" i="198"/>
  <c r="N20" i="198"/>
  <c r="N21" i="198"/>
  <c r="N22" i="198"/>
  <c r="N23" i="198"/>
  <c r="N24" i="198"/>
  <c r="N25" i="198"/>
  <c r="N26" i="198"/>
  <c r="N27" i="198"/>
  <c r="N28" i="198"/>
  <c r="N19" i="198"/>
  <c r="R46" i="188" l="1"/>
  <c r="R31" i="188"/>
  <c r="O13" i="185" l="1"/>
  <c r="K42" i="199" l="1"/>
  <c r="J42" i="199"/>
  <c r="I42" i="199"/>
  <c r="H42" i="199"/>
  <c r="E42" i="199"/>
  <c r="D42" i="199"/>
  <c r="C42" i="199"/>
  <c r="B42" i="199"/>
  <c r="K42" i="198"/>
  <c r="J42" i="198"/>
  <c r="I42" i="198"/>
  <c r="H42" i="198"/>
  <c r="E42" i="198"/>
  <c r="D42" i="198"/>
  <c r="C42" i="198"/>
  <c r="B42" i="198"/>
  <c r="K30" i="198"/>
  <c r="J30" i="198"/>
  <c r="I30" i="198"/>
  <c r="H30" i="198"/>
  <c r="E30" i="198"/>
  <c r="Q69" i="198" s="1"/>
  <c r="D30" i="198"/>
  <c r="P69" i="198" s="1"/>
  <c r="C30" i="198"/>
  <c r="O69" i="198" s="1"/>
  <c r="B30" i="198"/>
  <c r="K14" i="198"/>
  <c r="J14" i="198"/>
  <c r="I14" i="198"/>
  <c r="H14" i="198"/>
  <c r="E14" i="198"/>
  <c r="Q29" i="198" s="1"/>
  <c r="D14" i="198"/>
  <c r="P29" i="198" s="1"/>
  <c r="C14" i="198"/>
  <c r="B14" i="198"/>
  <c r="N29" i="198" s="1"/>
  <c r="G41" i="186"/>
  <c r="K27" i="186"/>
  <c r="K28" i="186"/>
  <c r="K29" i="186"/>
  <c r="K30" i="186"/>
  <c r="K31" i="186"/>
  <c r="K32" i="186"/>
  <c r="K33" i="186"/>
  <c r="K34" i="186"/>
  <c r="K35" i="186"/>
  <c r="K36" i="186"/>
  <c r="K37" i="186"/>
  <c r="K38" i="186"/>
  <c r="K39" i="186"/>
  <c r="K40" i="186"/>
  <c r="B3" i="197"/>
  <c r="B4" i="197"/>
  <c r="B5" i="197"/>
  <c r="B6" i="197"/>
  <c r="B7" i="197"/>
  <c r="B8" i="197"/>
  <c r="B9" i="197"/>
  <c r="B10" i="197"/>
  <c r="B11" i="197"/>
  <c r="B12" i="197"/>
  <c r="B13" i="197"/>
  <c r="B14" i="197"/>
  <c r="B15" i="197"/>
  <c r="B16" i="197"/>
  <c r="B17" i="197"/>
  <c r="B18" i="197"/>
  <c r="B19" i="197"/>
  <c r="B20" i="197"/>
  <c r="B21" i="197"/>
  <c r="B22" i="197"/>
  <c r="B23" i="197"/>
  <c r="B24" i="197"/>
  <c r="B25" i="197"/>
  <c r="B26" i="197"/>
  <c r="B27" i="197"/>
  <c r="B28" i="197"/>
  <c r="B29" i="197"/>
  <c r="B30" i="197"/>
  <c r="B31" i="197"/>
  <c r="B32" i="197"/>
  <c r="B33" i="197"/>
  <c r="B34" i="197"/>
  <c r="B35" i="197"/>
  <c r="B36" i="197"/>
  <c r="B37" i="197"/>
  <c r="B38" i="197"/>
  <c r="B39" i="197"/>
  <c r="B40" i="197"/>
  <c r="B41" i="197"/>
  <c r="B42" i="197"/>
  <c r="B43" i="197"/>
  <c r="B44" i="197"/>
  <c r="B45" i="197"/>
  <c r="B46" i="197"/>
  <c r="B47" i="197"/>
  <c r="B48" i="197"/>
  <c r="B49" i="197"/>
  <c r="B50" i="197"/>
  <c r="B51" i="197"/>
  <c r="B52" i="197"/>
  <c r="B53" i="197"/>
  <c r="B54" i="197"/>
  <c r="B55" i="197"/>
  <c r="B56" i="197"/>
  <c r="B57" i="197"/>
  <c r="B58" i="197"/>
  <c r="B59" i="197"/>
  <c r="B60" i="197"/>
  <c r="B61" i="197"/>
  <c r="B62" i="197"/>
  <c r="B63" i="197"/>
  <c r="B64" i="197"/>
  <c r="B65" i="197"/>
  <c r="B66" i="197"/>
  <c r="B67" i="197"/>
  <c r="B68" i="197"/>
  <c r="B69" i="197"/>
  <c r="B70" i="197"/>
  <c r="B71" i="197"/>
  <c r="B72" i="197"/>
  <c r="B73" i="197"/>
  <c r="B74" i="197"/>
  <c r="B75" i="197"/>
  <c r="B76" i="197"/>
  <c r="B77" i="197"/>
  <c r="B78" i="197"/>
  <c r="B79" i="197"/>
  <c r="B80" i="197"/>
  <c r="B81" i="197"/>
  <c r="B82" i="197"/>
  <c r="B83" i="197"/>
  <c r="B84" i="197"/>
  <c r="B85" i="197"/>
  <c r="B86" i="197"/>
  <c r="B87" i="197"/>
  <c r="B88" i="197"/>
  <c r="B89" i="197"/>
  <c r="B90" i="197"/>
  <c r="B91" i="197"/>
  <c r="B92" i="197"/>
  <c r="B93" i="197"/>
  <c r="B94" i="197"/>
  <c r="B95" i="197"/>
  <c r="B96" i="197"/>
  <c r="B97" i="197"/>
  <c r="B98" i="197"/>
  <c r="B99" i="197"/>
  <c r="B100" i="197"/>
  <c r="B101" i="197"/>
  <c r="B102" i="197"/>
  <c r="B103" i="197"/>
  <c r="B104" i="197"/>
  <c r="B105" i="197"/>
  <c r="B106" i="197"/>
  <c r="B107" i="197"/>
  <c r="B108" i="197"/>
  <c r="B109" i="197"/>
  <c r="B110" i="197"/>
  <c r="B111" i="197"/>
  <c r="B112" i="197"/>
  <c r="B113" i="197"/>
  <c r="B114" i="197"/>
  <c r="B115" i="197"/>
  <c r="B116" i="197"/>
  <c r="B117" i="197"/>
  <c r="B118" i="197"/>
  <c r="B119" i="197"/>
  <c r="B120" i="197"/>
  <c r="B121" i="197"/>
  <c r="B122" i="197"/>
  <c r="B123" i="197"/>
  <c r="B124" i="197"/>
  <c r="B125" i="197"/>
  <c r="B126" i="197"/>
  <c r="B127" i="197"/>
  <c r="B128" i="197"/>
  <c r="B129" i="197"/>
  <c r="B130" i="197"/>
  <c r="B131" i="197"/>
  <c r="B132" i="197"/>
  <c r="B133" i="197"/>
  <c r="B134" i="197"/>
  <c r="B135" i="197"/>
  <c r="B136" i="197"/>
  <c r="B137" i="197"/>
  <c r="B138" i="197"/>
  <c r="B139" i="197"/>
  <c r="B140" i="197"/>
  <c r="B141" i="197"/>
  <c r="B142" i="197"/>
  <c r="B143" i="197"/>
  <c r="B144" i="197"/>
  <c r="B145" i="197"/>
  <c r="B146" i="197"/>
  <c r="B147" i="197"/>
  <c r="B148" i="197"/>
  <c r="B149" i="197"/>
  <c r="B150" i="197"/>
  <c r="B151" i="197"/>
  <c r="B152" i="197"/>
  <c r="B153" i="197"/>
  <c r="B154" i="197"/>
  <c r="B155" i="197"/>
  <c r="B156" i="197"/>
  <c r="B157" i="197"/>
  <c r="B158" i="197"/>
  <c r="B159" i="197"/>
  <c r="B160" i="197"/>
  <c r="B161" i="197"/>
  <c r="B162" i="197"/>
  <c r="B163" i="197"/>
  <c r="B164" i="197"/>
  <c r="B165" i="197"/>
  <c r="B166" i="197"/>
  <c r="B167" i="197"/>
  <c r="B168" i="197"/>
  <c r="B169" i="197"/>
  <c r="B170" i="197"/>
  <c r="B171" i="197"/>
  <c r="B172" i="197"/>
  <c r="B173" i="197"/>
  <c r="B174" i="197"/>
  <c r="B175" i="197"/>
  <c r="B176" i="197"/>
  <c r="B177" i="197"/>
  <c r="B178" i="197"/>
  <c r="B179" i="197"/>
  <c r="B180" i="197"/>
  <c r="B181" i="197"/>
  <c r="B182" i="197"/>
  <c r="B183" i="197"/>
  <c r="B184" i="197"/>
  <c r="B185" i="197"/>
  <c r="B186" i="197"/>
  <c r="B187" i="197"/>
  <c r="B188" i="197"/>
  <c r="B189" i="197"/>
  <c r="B190" i="197"/>
  <c r="B191" i="197"/>
  <c r="B192" i="197"/>
  <c r="B193" i="197"/>
  <c r="B194" i="197"/>
  <c r="B195" i="197"/>
  <c r="B196" i="197"/>
  <c r="B197" i="197"/>
  <c r="B198" i="197"/>
  <c r="B199" i="197"/>
  <c r="B200" i="197"/>
  <c r="B201" i="197"/>
  <c r="B202" i="197"/>
  <c r="B203" i="197"/>
  <c r="B204" i="197"/>
  <c r="B205" i="197"/>
  <c r="B206" i="197"/>
  <c r="B207" i="197"/>
  <c r="B208" i="197"/>
  <c r="B209" i="197"/>
  <c r="B210" i="197"/>
  <c r="B211" i="197"/>
  <c r="B212" i="197"/>
  <c r="B213" i="197"/>
  <c r="B214" i="197"/>
  <c r="B215" i="197"/>
  <c r="B216" i="197"/>
  <c r="B217" i="197"/>
  <c r="B218" i="197"/>
  <c r="B219" i="197"/>
  <c r="B220" i="197"/>
  <c r="B221" i="197"/>
  <c r="B222" i="197"/>
  <c r="B223" i="197"/>
  <c r="B224" i="197"/>
  <c r="B225" i="197"/>
  <c r="B226" i="197"/>
  <c r="B227" i="197"/>
  <c r="B228" i="197"/>
  <c r="B229" i="197"/>
  <c r="B230" i="197"/>
  <c r="B231" i="197"/>
  <c r="B232" i="197"/>
  <c r="B233" i="197"/>
  <c r="B234" i="197"/>
  <c r="B235" i="197"/>
  <c r="B236" i="197"/>
  <c r="B237" i="197"/>
  <c r="B238" i="197"/>
  <c r="B239" i="197"/>
  <c r="B240" i="197"/>
  <c r="B241" i="197"/>
  <c r="B242" i="197"/>
  <c r="B243" i="197"/>
  <c r="B244" i="197"/>
  <c r="B245" i="197"/>
  <c r="B246" i="197"/>
  <c r="B247" i="197"/>
  <c r="B248" i="197"/>
  <c r="B249" i="197"/>
  <c r="B250" i="197"/>
  <c r="AE68" i="197"/>
  <c r="AA88" i="197"/>
  <c r="T96" i="197"/>
  <c r="S116" i="197"/>
  <c r="AE120" i="197"/>
  <c r="AA124" i="197"/>
  <c r="S132" i="197"/>
  <c r="AB140" i="197"/>
  <c r="W144" i="197"/>
  <c r="T148" i="197"/>
  <c r="AE152" i="197"/>
  <c r="AA156" i="197"/>
  <c r="S164" i="197"/>
  <c r="AB168" i="197"/>
  <c r="AB172" i="197"/>
  <c r="AE176" i="197"/>
  <c r="T180" i="197"/>
  <c r="AE180" i="197"/>
  <c r="W184" i="197"/>
  <c r="V188" i="197"/>
  <c r="AD188" i="197"/>
  <c r="V196" i="197"/>
  <c r="AD196" i="197"/>
  <c r="Y200" i="197"/>
  <c r="AD204" i="197"/>
  <c r="Y208" i="197"/>
  <c r="V212" i="197"/>
  <c r="Y216" i="197"/>
  <c r="V220" i="197"/>
  <c r="AD220" i="197"/>
  <c r="V228" i="197"/>
  <c r="AD228" i="197"/>
  <c r="Y232" i="197"/>
  <c r="Y236" i="197"/>
  <c r="AD236" i="197"/>
  <c r="X237" i="197"/>
  <c r="AB240" i="197"/>
  <c r="V244" i="197"/>
  <c r="AB244" i="197"/>
  <c r="X248" i="197"/>
  <c r="AC248" i="197"/>
  <c r="R12" i="197"/>
  <c r="R44" i="197"/>
  <c r="R60" i="197"/>
  <c r="R76" i="197"/>
  <c r="R108" i="197"/>
  <c r="R124" i="197"/>
  <c r="R140" i="197"/>
  <c r="Q4" i="197"/>
  <c r="Q5" i="197"/>
  <c r="Q6" i="197"/>
  <c r="R6" i="197" s="1"/>
  <c r="Q7" i="197"/>
  <c r="R7" i="197" s="1"/>
  <c r="Q8" i="197"/>
  <c r="R8" i="197" s="1"/>
  <c r="Q9" i="197"/>
  <c r="Q10" i="197"/>
  <c r="Q11" i="197"/>
  <c r="R11" i="197" s="1"/>
  <c r="Q12" i="197"/>
  <c r="Q13" i="197"/>
  <c r="Q14" i="197"/>
  <c r="R14" i="197" s="1"/>
  <c r="Q15" i="197"/>
  <c r="Q16" i="197"/>
  <c r="Q17" i="197"/>
  <c r="Q18" i="197"/>
  <c r="Q19" i="197"/>
  <c r="R19" i="197" s="1"/>
  <c r="Q20" i="197"/>
  <c r="Q21" i="197"/>
  <c r="Q22" i="197"/>
  <c r="Q23" i="197"/>
  <c r="R23" i="197" s="1"/>
  <c r="Q24" i="197"/>
  <c r="R24" i="197" s="1"/>
  <c r="Q25" i="197"/>
  <c r="Q26" i="197"/>
  <c r="Q27" i="197"/>
  <c r="R27" i="197" s="1"/>
  <c r="Q28" i="197"/>
  <c r="R28" i="197" s="1"/>
  <c r="Q29" i="197"/>
  <c r="Q30" i="197"/>
  <c r="W30" i="197" s="1"/>
  <c r="Q31" i="197"/>
  <c r="Q32" i="197"/>
  <c r="Q33" i="197"/>
  <c r="Q34" i="197"/>
  <c r="Q35" i="197"/>
  <c r="Q36" i="197"/>
  <c r="Q37" i="197"/>
  <c r="Q38" i="197"/>
  <c r="Q39" i="197"/>
  <c r="R39" i="197" s="1"/>
  <c r="Q40" i="197"/>
  <c r="R40" i="197" s="1"/>
  <c r="Q41" i="197"/>
  <c r="Q42" i="197"/>
  <c r="Q43" i="197"/>
  <c r="R43" i="197" s="1"/>
  <c r="Q44" i="197"/>
  <c r="S44" i="197" s="1"/>
  <c r="Q45" i="197"/>
  <c r="Q46" i="197"/>
  <c r="Q47" i="197"/>
  <c r="Q48" i="197"/>
  <c r="Q49" i="197"/>
  <c r="V49" i="197" s="1"/>
  <c r="Q50" i="197"/>
  <c r="Q51" i="197"/>
  <c r="Q52" i="197"/>
  <c r="Q53" i="197"/>
  <c r="Q54" i="197"/>
  <c r="Q55" i="197"/>
  <c r="R55" i="197" s="1"/>
  <c r="Q56" i="197"/>
  <c r="R56" i="197" s="1"/>
  <c r="Q57" i="197"/>
  <c r="Q58" i="197"/>
  <c r="Q59" i="197"/>
  <c r="Q60" i="197"/>
  <c r="Q61" i="197"/>
  <c r="Z61" i="197" s="1"/>
  <c r="Q62" i="197"/>
  <c r="Q63" i="197"/>
  <c r="AE63" i="197" s="1"/>
  <c r="Q64" i="197"/>
  <c r="S64" i="197" s="1"/>
  <c r="Q65" i="197"/>
  <c r="Q66" i="197"/>
  <c r="Q67" i="197"/>
  <c r="R67" i="197" s="1"/>
  <c r="Q68" i="197"/>
  <c r="AD68" i="197" s="1"/>
  <c r="Q69" i="197"/>
  <c r="Q70" i="197"/>
  <c r="R70" i="197" s="1"/>
  <c r="Q71" i="197"/>
  <c r="X71" i="197" s="1"/>
  <c r="Q72" i="197"/>
  <c r="R72" i="197" s="1"/>
  <c r="Q73" i="197"/>
  <c r="AD73" i="197" s="1"/>
  <c r="Q74" i="197"/>
  <c r="Q75" i="197"/>
  <c r="R75" i="197" s="1"/>
  <c r="Q76" i="197"/>
  <c r="Q77" i="197"/>
  <c r="AD77" i="197" s="1"/>
  <c r="Q78" i="197"/>
  <c r="Q79" i="197"/>
  <c r="Z79" i="197" s="1"/>
  <c r="Q80" i="197"/>
  <c r="Q81" i="197"/>
  <c r="U81" i="197" s="1"/>
  <c r="Q82" i="197"/>
  <c r="Z82" i="197" s="1"/>
  <c r="Q83" i="197"/>
  <c r="Q84" i="197"/>
  <c r="Q85" i="197"/>
  <c r="S85" i="197" s="1"/>
  <c r="Q86" i="197"/>
  <c r="Q87" i="197"/>
  <c r="Y87" i="197" s="1"/>
  <c r="Q88" i="197"/>
  <c r="AB88" i="197" s="1"/>
  <c r="Q89" i="197"/>
  <c r="AE89" i="197" s="1"/>
  <c r="Q90" i="197"/>
  <c r="Q91" i="197"/>
  <c r="T91" i="197" s="1"/>
  <c r="Q92" i="197"/>
  <c r="R92" i="197" s="1"/>
  <c r="Q93" i="197"/>
  <c r="AA93" i="197" s="1"/>
  <c r="Q94" i="197"/>
  <c r="AD94" i="197" s="1"/>
  <c r="Q95" i="197"/>
  <c r="Q96" i="197"/>
  <c r="S96" i="197" s="1"/>
  <c r="Q97" i="197"/>
  <c r="W97" i="197" s="1"/>
  <c r="Q98" i="197"/>
  <c r="Q99" i="197"/>
  <c r="Q100" i="197"/>
  <c r="AE100" i="197" s="1"/>
  <c r="Q101" i="197"/>
  <c r="S101" i="197" s="1"/>
  <c r="Q102" i="197"/>
  <c r="V102" i="197" s="1"/>
  <c r="Q103" i="197"/>
  <c r="X103" i="197" s="1"/>
  <c r="Q104" i="197"/>
  <c r="R104" i="197" s="1"/>
  <c r="Q105" i="197"/>
  <c r="AE105" i="197" s="1"/>
  <c r="Q106" i="197"/>
  <c r="Q107" i="197"/>
  <c r="Q108" i="197"/>
  <c r="Q109" i="197"/>
  <c r="Y109" i="197" s="1"/>
  <c r="Q110" i="197"/>
  <c r="Q111" i="197"/>
  <c r="T111" i="197" s="1"/>
  <c r="Q112" i="197"/>
  <c r="AA112" i="197" s="1"/>
  <c r="Q113" i="197"/>
  <c r="Z113" i="197" s="1"/>
  <c r="Q114" i="197"/>
  <c r="Q115" i="197"/>
  <c r="Q116" i="197"/>
  <c r="Q117" i="197"/>
  <c r="Q118" i="197"/>
  <c r="R118" i="197" s="1"/>
  <c r="Q119" i="197"/>
  <c r="AB119" i="197" s="1"/>
  <c r="Q120" i="197"/>
  <c r="R120" i="197" s="1"/>
  <c r="Q121" i="197"/>
  <c r="Q122" i="197"/>
  <c r="Q123" i="197"/>
  <c r="Q124" i="197"/>
  <c r="AB124" i="197" s="1"/>
  <c r="Q125" i="197"/>
  <c r="W125" i="197" s="1"/>
  <c r="Q126" i="197"/>
  <c r="Z126" i="197" s="1"/>
  <c r="Q127" i="197"/>
  <c r="U127" i="197" s="1"/>
  <c r="Q128" i="197"/>
  <c r="W128" i="197" s="1"/>
  <c r="Q129" i="197"/>
  <c r="Q130" i="197"/>
  <c r="V130" i="197" s="1"/>
  <c r="Q131" i="197"/>
  <c r="Q132" i="197"/>
  <c r="T132" i="197" s="1"/>
  <c r="Q133" i="197"/>
  <c r="AE133" i="197" s="1"/>
  <c r="Q134" i="197"/>
  <c r="Q135" i="197"/>
  <c r="Q136" i="197"/>
  <c r="AE136" i="197" s="1"/>
  <c r="Q137" i="197"/>
  <c r="AA137" i="197" s="1"/>
  <c r="Q138" i="197"/>
  <c r="AD138" i="197" s="1"/>
  <c r="Q139" i="197"/>
  <c r="Q140" i="197"/>
  <c r="AA140" i="197" s="1"/>
  <c r="Q141" i="197"/>
  <c r="Q142" i="197"/>
  <c r="Z142" i="197" s="1"/>
  <c r="Q143" i="197"/>
  <c r="T143" i="197" s="1"/>
  <c r="Q144" i="197"/>
  <c r="X144" i="197" s="1"/>
  <c r="Q145" i="197"/>
  <c r="S145" i="197" s="1"/>
  <c r="Q146" i="197"/>
  <c r="Q147" i="197"/>
  <c r="Y147" i="197" s="1"/>
  <c r="Q148" i="197"/>
  <c r="S148" i="197" s="1"/>
  <c r="Q149" i="197"/>
  <c r="Q150" i="197"/>
  <c r="R150" i="197" s="1"/>
  <c r="Q151" i="197"/>
  <c r="Q152" i="197"/>
  <c r="Q153" i="197"/>
  <c r="Q154" i="197"/>
  <c r="Q155" i="197"/>
  <c r="Y155" i="197" s="1"/>
  <c r="Q156" i="197"/>
  <c r="AB156" i="197" s="1"/>
  <c r="Q157" i="197"/>
  <c r="W157" i="197" s="1"/>
  <c r="Q158" i="197"/>
  <c r="Z158" i="197" s="1"/>
  <c r="Q159" i="197"/>
  <c r="Q160" i="197"/>
  <c r="W160" i="197" s="1"/>
  <c r="Q161" i="197"/>
  <c r="Q162" i="197"/>
  <c r="V162" i="197" s="1"/>
  <c r="Q163" i="197"/>
  <c r="Y163" i="197" s="1"/>
  <c r="Q164" i="197"/>
  <c r="T164" i="197" s="1"/>
  <c r="Q165" i="197"/>
  <c r="AD165" i="197" s="1"/>
  <c r="Q166" i="197"/>
  <c r="Q167" i="197"/>
  <c r="Q168" i="197"/>
  <c r="AA168" i="197" s="1"/>
  <c r="Q169" i="197"/>
  <c r="Q170" i="197"/>
  <c r="AC170" i="197" s="1"/>
  <c r="Q171" i="197"/>
  <c r="Q172" i="197"/>
  <c r="AD172" i="197" s="1"/>
  <c r="Q173" i="197"/>
  <c r="V173" i="197" s="1"/>
  <c r="Q174" i="197"/>
  <c r="T174" i="197" s="1"/>
  <c r="Q175" i="197"/>
  <c r="W175" i="197" s="1"/>
  <c r="Q176" i="197"/>
  <c r="S176" i="197" s="1"/>
  <c r="Q177" i="197"/>
  <c r="Q178" i="197"/>
  <c r="Q179" i="197"/>
  <c r="Q180" i="197"/>
  <c r="V180" i="197" s="1"/>
  <c r="Q181" i="197"/>
  <c r="AD181" i="197" s="1"/>
  <c r="Q182" i="197"/>
  <c r="V182" i="197" s="1"/>
  <c r="Q183" i="197"/>
  <c r="Y183" i="197" s="1"/>
  <c r="Q184" i="197"/>
  <c r="V184" i="197" s="1"/>
  <c r="Q185" i="197"/>
  <c r="Q186" i="197"/>
  <c r="Q187" i="197"/>
  <c r="Q188" i="197"/>
  <c r="U188" i="197" s="1"/>
  <c r="Q189" i="197"/>
  <c r="Q190" i="197"/>
  <c r="X190" i="197" s="1"/>
  <c r="Q191" i="197"/>
  <c r="Q192" i="197"/>
  <c r="Z192" i="197" s="1"/>
  <c r="Q193" i="197"/>
  <c r="U193" i="197" s="1"/>
  <c r="Q194" i="197"/>
  <c r="T194" i="197" s="1"/>
  <c r="Q195" i="197"/>
  <c r="AA195" i="197" s="1"/>
  <c r="Q196" i="197"/>
  <c r="U196" i="197" s="1"/>
  <c r="Q197" i="197"/>
  <c r="Q198" i="197"/>
  <c r="Q199" i="197"/>
  <c r="Q200" i="197"/>
  <c r="Z200" i="197" s="1"/>
  <c r="Q201" i="197"/>
  <c r="Q202" i="197"/>
  <c r="T202" i="197" s="1"/>
  <c r="Q203" i="197"/>
  <c r="Q204" i="197"/>
  <c r="U204" i="197" s="1"/>
  <c r="Q205" i="197"/>
  <c r="Q206" i="197"/>
  <c r="Q207" i="197"/>
  <c r="Q208" i="197"/>
  <c r="Z208" i="197" s="1"/>
  <c r="Q209" i="197"/>
  <c r="U209" i="197" s="1"/>
  <c r="Q210" i="197"/>
  <c r="T210" i="197" s="1"/>
  <c r="Q211" i="197"/>
  <c r="AA211" i="197" s="1"/>
  <c r="Q212" i="197"/>
  <c r="U212" i="197" s="1"/>
  <c r="Q213" i="197"/>
  <c r="Q214" i="197"/>
  <c r="X214" i="197" s="1"/>
  <c r="Q215" i="197"/>
  <c r="Q216" i="197"/>
  <c r="Z216" i="197" s="1"/>
  <c r="Q217" i="197"/>
  <c r="U217" i="197" s="1"/>
  <c r="Q218" i="197"/>
  <c r="Q219" i="197"/>
  <c r="AA219" i="197" s="1"/>
  <c r="Q220" i="197"/>
  <c r="U220" i="197" s="1"/>
  <c r="Q221" i="197"/>
  <c r="Q222" i="197"/>
  <c r="X222" i="197" s="1"/>
  <c r="Q223" i="197"/>
  <c r="Q224" i="197"/>
  <c r="Z224" i="197" s="1"/>
  <c r="Q225" i="197"/>
  <c r="U225" i="197" s="1"/>
  <c r="Q226" i="197"/>
  <c r="Q227" i="197"/>
  <c r="Q228" i="197"/>
  <c r="U228" i="197" s="1"/>
  <c r="Q229" i="197"/>
  <c r="Q230" i="197"/>
  <c r="X230" i="197" s="1"/>
  <c r="Q231" i="197"/>
  <c r="AD231" i="197" s="1"/>
  <c r="Q232" i="197"/>
  <c r="Z232" i="197" s="1"/>
  <c r="Q233" i="197"/>
  <c r="Q234" i="197"/>
  <c r="Q235" i="197"/>
  <c r="Q236" i="197"/>
  <c r="Z236" i="197" s="1"/>
  <c r="Q237" i="197"/>
  <c r="Q238" i="197"/>
  <c r="S238" i="197" s="1"/>
  <c r="Q239" i="197"/>
  <c r="Y239" i="197" s="1"/>
  <c r="Q240" i="197"/>
  <c r="Z240" i="197" s="1"/>
  <c r="Q241" i="197"/>
  <c r="Q242" i="197"/>
  <c r="T242" i="197" s="1"/>
  <c r="Q243" i="197"/>
  <c r="AD243" i="197" s="1"/>
  <c r="Q244" i="197"/>
  <c r="X244" i="197" s="1"/>
  <c r="Q245" i="197"/>
  <c r="U245" i="197" s="1"/>
  <c r="Q246" i="197"/>
  <c r="Q247" i="197"/>
  <c r="Z247" i="197" s="1"/>
  <c r="Q248" i="197"/>
  <c r="Y248" i="197" s="1"/>
  <c r="Q249" i="197"/>
  <c r="W249" i="197" s="1"/>
  <c r="Q3" i="197"/>
  <c r="D250" i="197"/>
  <c r="E250" i="197"/>
  <c r="F250" i="197"/>
  <c r="G250" i="197"/>
  <c r="H250" i="197"/>
  <c r="I250" i="197"/>
  <c r="J250" i="197"/>
  <c r="K250" i="197"/>
  <c r="L250" i="197"/>
  <c r="M250" i="197"/>
  <c r="N250" i="197"/>
  <c r="O250" i="197"/>
  <c r="P250" i="197"/>
  <c r="C250" i="197"/>
  <c r="O29" i="198" l="1"/>
  <c r="V240" i="197"/>
  <c r="T236" i="197"/>
  <c r="Y224" i="197"/>
  <c r="AD212" i="197"/>
  <c r="V204" i="197"/>
  <c r="Y192" i="197"/>
  <c r="T176" i="197"/>
  <c r="X160" i="197"/>
  <c r="AA145" i="197"/>
  <c r="X128" i="197"/>
  <c r="AB112" i="197"/>
  <c r="U235" i="197"/>
  <c r="AC235" i="197"/>
  <c r="W235" i="197"/>
  <c r="S223" i="197"/>
  <c r="AE223" i="197"/>
  <c r="W223" i="197"/>
  <c r="S207" i="197"/>
  <c r="AE207" i="197"/>
  <c r="W207" i="197"/>
  <c r="S191" i="197"/>
  <c r="AE191" i="197"/>
  <c r="W191" i="197"/>
  <c r="S179" i="197"/>
  <c r="X179" i="197"/>
  <c r="AA171" i="197"/>
  <c r="U171" i="197"/>
  <c r="AC159" i="197"/>
  <c r="T159" i="197"/>
  <c r="U151" i="197"/>
  <c r="AC151" i="197"/>
  <c r="U135" i="197"/>
  <c r="AB135" i="197"/>
  <c r="R123" i="197"/>
  <c r="Y123" i="197"/>
  <c r="U115" i="197"/>
  <c r="R115" i="197"/>
  <c r="AE115" i="197"/>
  <c r="S107" i="197"/>
  <c r="AC107" i="197"/>
  <c r="R83" i="197"/>
  <c r="AC83" i="197"/>
  <c r="V35" i="197"/>
  <c r="R35" i="197"/>
  <c r="U35" i="197"/>
  <c r="Y243" i="197"/>
  <c r="W241" i="197"/>
  <c r="AE241" i="197"/>
  <c r="T241" i="197"/>
  <c r="Y233" i="197"/>
  <c r="AC233" i="197"/>
  <c r="U221" i="197"/>
  <c r="Y221" i="197"/>
  <c r="U213" i="197"/>
  <c r="Y213" i="197"/>
  <c r="Y201" i="197"/>
  <c r="AC201" i="197"/>
  <c r="U189" i="197"/>
  <c r="Y189" i="197"/>
  <c r="Y181" i="197"/>
  <c r="S181" i="197"/>
  <c r="U169" i="197"/>
  <c r="Z169" i="197"/>
  <c r="AE149" i="197"/>
  <c r="W149" i="197"/>
  <c r="S129" i="197"/>
  <c r="AA129" i="197"/>
  <c r="AE117" i="197"/>
  <c r="W117" i="197"/>
  <c r="Y241" i="197"/>
  <c r="U233" i="197"/>
  <c r="U201" i="197"/>
  <c r="T171" i="197"/>
  <c r="W165" i="197"/>
  <c r="AE157" i="197"/>
  <c r="AB151" i="197"/>
  <c r="AC135" i="197"/>
  <c r="AB83" i="197"/>
  <c r="AD43" i="197"/>
  <c r="S247" i="197"/>
  <c r="AA247" i="197"/>
  <c r="V247" i="197"/>
  <c r="V239" i="197"/>
  <c r="AC239" i="197"/>
  <c r="W239" i="197"/>
  <c r="W227" i="197"/>
  <c r="Z227" i="197"/>
  <c r="S215" i="197"/>
  <c r="AE215" i="197"/>
  <c r="W215" i="197"/>
  <c r="W203" i="197"/>
  <c r="Z203" i="197"/>
  <c r="S199" i="197"/>
  <c r="AE199" i="197"/>
  <c r="W199" i="197"/>
  <c r="U187" i="197"/>
  <c r="Y187" i="197"/>
  <c r="AB175" i="197"/>
  <c r="U175" i="197"/>
  <c r="Y167" i="197"/>
  <c r="S167" i="197"/>
  <c r="AC167" i="197"/>
  <c r="AC143" i="197"/>
  <c r="U143" i="197"/>
  <c r="R139" i="197"/>
  <c r="X139" i="197"/>
  <c r="AC127" i="197"/>
  <c r="T127" i="197"/>
  <c r="AE111" i="197"/>
  <c r="S111" i="197"/>
  <c r="AC99" i="197"/>
  <c r="R99" i="197"/>
  <c r="R59" i="197"/>
  <c r="S59" i="197"/>
  <c r="AB51" i="197"/>
  <c r="R51" i="197"/>
  <c r="AA235" i="197"/>
  <c r="AA227" i="197"/>
  <c r="AD223" i="197"/>
  <c r="AD215" i="197"/>
  <c r="AD207" i="197"/>
  <c r="AA203" i="197"/>
  <c r="AD199" i="197"/>
  <c r="AD191" i="197"/>
  <c r="AA187" i="197"/>
  <c r="AE167" i="197"/>
  <c r="X155" i="197"/>
  <c r="Y139" i="197"/>
  <c r="AB107" i="197"/>
  <c r="T249" i="197"/>
  <c r="AB249" i="197"/>
  <c r="S245" i="197"/>
  <c r="AA245" i="197"/>
  <c r="U237" i="197"/>
  <c r="AC237" i="197"/>
  <c r="S237" i="197"/>
  <c r="U229" i="197"/>
  <c r="Y229" i="197"/>
  <c r="Y225" i="197"/>
  <c r="AC225" i="197"/>
  <c r="Y217" i="197"/>
  <c r="AC217" i="197"/>
  <c r="Y209" i="197"/>
  <c r="AC209" i="197"/>
  <c r="U205" i="197"/>
  <c r="Y205" i="197"/>
  <c r="U197" i="197"/>
  <c r="Y197" i="197"/>
  <c r="Y193" i="197"/>
  <c r="AC193" i="197"/>
  <c r="Z185" i="197"/>
  <c r="U185" i="197"/>
  <c r="W177" i="197"/>
  <c r="AC177" i="197"/>
  <c r="S161" i="197"/>
  <c r="AA161" i="197"/>
  <c r="AA153" i="197"/>
  <c r="S153" i="197"/>
  <c r="W141" i="197"/>
  <c r="AE141" i="197"/>
  <c r="AA121" i="197"/>
  <c r="S121" i="197"/>
  <c r="R119" i="197"/>
  <c r="R87" i="197"/>
  <c r="U247" i="197"/>
  <c r="S239" i="197"/>
  <c r="W179" i="197"/>
  <c r="AA173" i="197"/>
  <c r="W133" i="197"/>
  <c r="AE125" i="197"/>
  <c r="W243" i="197"/>
  <c r="Z243" i="197"/>
  <c r="U243" i="197"/>
  <c r="AE243" i="197"/>
  <c r="S231" i="197"/>
  <c r="AE231" i="197"/>
  <c r="W231" i="197"/>
  <c r="W219" i="197"/>
  <c r="Z219" i="197"/>
  <c r="W211" i="197"/>
  <c r="Z211" i="197"/>
  <c r="W195" i="197"/>
  <c r="Z195" i="197"/>
  <c r="T183" i="197"/>
  <c r="X183" i="197"/>
  <c r="Y131" i="197"/>
  <c r="R131" i="197"/>
  <c r="U119" i="197"/>
  <c r="AC119" i="197"/>
  <c r="R91" i="197"/>
  <c r="U91" i="197"/>
  <c r="R135" i="197"/>
  <c r="R103" i="197"/>
  <c r="R71" i="197"/>
  <c r="AE247" i="197"/>
  <c r="S243" i="197"/>
  <c r="AD239" i="197"/>
  <c r="V235" i="197"/>
  <c r="V231" i="197"/>
  <c r="S227" i="197"/>
  <c r="V223" i="197"/>
  <c r="S219" i="197"/>
  <c r="V215" i="197"/>
  <c r="S211" i="197"/>
  <c r="V207" i="197"/>
  <c r="S203" i="197"/>
  <c r="V199" i="197"/>
  <c r="S195" i="197"/>
  <c r="V191" i="197"/>
  <c r="AE185" i="197"/>
  <c r="AE171" i="197"/>
  <c r="T167" i="197"/>
  <c r="U159" i="197"/>
  <c r="S137" i="197"/>
  <c r="X123" i="197"/>
  <c r="Y103" i="197"/>
  <c r="T59" i="197"/>
  <c r="R136" i="197"/>
  <c r="R88" i="197"/>
  <c r="AD248" i="197"/>
  <c r="T248" i="197"/>
  <c r="AC244" i="197"/>
  <c r="U240" i="197"/>
  <c r="U236" i="197"/>
  <c r="AC228" i="197"/>
  <c r="AC220" i="197"/>
  <c r="AC212" i="197"/>
  <c r="AC204" i="197"/>
  <c r="AC196" i="197"/>
  <c r="AC188" i="197"/>
  <c r="AD176" i="197"/>
  <c r="S172" i="197"/>
  <c r="U246" i="197"/>
  <c r="Y246" i="197"/>
  <c r="AC246" i="197"/>
  <c r="U234" i="197"/>
  <c r="Y234" i="197"/>
  <c r="AC234" i="197"/>
  <c r="V234" i="197"/>
  <c r="Z234" i="197"/>
  <c r="U226" i="197"/>
  <c r="Y226" i="197"/>
  <c r="AC226" i="197"/>
  <c r="V226" i="197"/>
  <c r="Z226" i="197"/>
  <c r="AD226" i="197"/>
  <c r="U218" i="197"/>
  <c r="Y218" i="197"/>
  <c r="AC218" i="197"/>
  <c r="V218" i="197"/>
  <c r="Z218" i="197"/>
  <c r="AD218" i="197"/>
  <c r="U206" i="197"/>
  <c r="Y206" i="197"/>
  <c r="AC206" i="197"/>
  <c r="V206" i="197"/>
  <c r="Z206" i="197"/>
  <c r="AD206" i="197"/>
  <c r="U198" i="197"/>
  <c r="Y198" i="197"/>
  <c r="AC198" i="197"/>
  <c r="V198" i="197"/>
  <c r="Z198" i="197"/>
  <c r="AD198" i="197"/>
  <c r="S186" i="197"/>
  <c r="W186" i="197"/>
  <c r="AA186" i="197"/>
  <c r="AE186" i="197"/>
  <c r="T186" i="197"/>
  <c r="Y186" i="197"/>
  <c r="AD186" i="197"/>
  <c r="U186" i="197"/>
  <c r="Z186" i="197"/>
  <c r="S178" i="197"/>
  <c r="W178" i="197"/>
  <c r="AA178" i="197"/>
  <c r="AE178" i="197"/>
  <c r="V178" i="197"/>
  <c r="AB178" i="197"/>
  <c r="X178" i="197"/>
  <c r="AC178" i="197"/>
  <c r="S166" i="197"/>
  <c r="W166" i="197"/>
  <c r="AA166" i="197"/>
  <c r="AE166" i="197"/>
  <c r="X166" i="197"/>
  <c r="AC166" i="197"/>
  <c r="T166" i="197"/>
  <c r="Y166" i="197"/>
  <c r="AD166" i="197"/>
  <c r="S154" i="197"/>
  <c r="W154" i="197"/>
  <c r="AA154" i="197"/>
  <c r="AE154" i="197"/>
  <c r="T154" i="197"/>
  <c r="X154" i="197"/>
  <c r="AB154" i="197"/>
  <c r="Y154" i="197"/>
  <c r="Z154" i="197"/>
  <c r="S146" i="197"/>
  <c r="W146" i="197"/>
  <c r="AA146" i="197"/>
  <c r="AE146" i="197"/>
  <c r="T146" i="197"/>
  <c r="X146" i="197"/>
  <c r="AB146" i="197"/>
  <c r="Y146" i="197"/>
  <c r="Z146" i="197"/>
  <c r="S134" i="197"/>
  <c r="W134" i="197"/>
  <c r="AA134" i="197"/>
  <c r="AE134" i="197"/>
  <c r="T134" i="197"/>
  <c r="X134" i="197"/>
  <c r="AB134" i="197"/>
  <c r="U134" i="197"/>
  <c r="AC134" i="197"/>
  <c r="V134" i="197"/>
  <c r="AD134" i="197"/>
  <c r="S122" i="197"/>
  <c r="W122" i="197"/>
  <c r="AA122" i="197"/>
  <c r="AE122" i="197"/>
  <c r="T122" i="197"/>
  <c r="X122" i="197"/>
  <c r="AB122" i="197"/>
  <c r="Y122" i="197"/>
  <c r="Z122" i="197"/>
  <c r="S110" i="197"/>
  <c r="W110" i="197"/>
  <c r="AA110" i="197"/>
  <c r="AE110" i="197"/>
  <c r="X110" i="197"/>
  <c r="AC110" i="197"/>
  <c r="T110" i="197"/>
  <c r="Y110" i="197"/>
  <c r="AD110" i="197"/>
  <c r="Z110" i="197"/>
  <c r="AB110" i="197"/>
  <c r="S98" i="197"/>
  <c r="W98" i="197"/>
  <c r="AA98" i="197"/>
  <c r="AE98" i="197"/>
  <c r="T98" i="197"/>
  <c r="X98" i="197"/>
  <c r="AB98" i="197"/>
  <c r="U98" i="197"/>
  <c r="AC98" i="197"/>
  <c r="V98" i="197"/>
  <c r="AD98" i="197"/>
  <c r="S86" i="197"/>
  <c r="W86" i="197"/>
  <c r="AA86" i="197"/>
  <c r="AE86" i="197"/>
  <c r="T86" i="197"/>
  <c r="X86" i="197"/>
  <c r="AB86" i="197"/>
  <c r="Y86" i="197"/>
  <c r="Z86" i="197"/>
  <c r="AC86" i="197"/>
  <c r="AD86" i="197"/>
  <c r="V74" i="197"/>
  <c r="Z74" i="197"/>
  <c r="AD74" i="197"/>
  <c r="S74" i="197"/>
  <c r="W74" i="197"/>
  <c r="AA74" i="197"/>
  <c r="AE74" i="197"/>
  <c r="T74" i="197"/>
  <c r="AB74" i="197"/>
  <c r="U74" i="197"/>
  <c r="AC74" i="197"/>
  <c r="X74" i="197"/>
  <c r="Y74" i="197"/>
  <c r="V66" i="197"/>
  <c r="Z66" i="197"/>
  <c r="AD66" i="197"/>
  <c r="S66" i="197"/>
  <c r="W66" i="197"/>
  <c r="AA66" i="197"/>
  <c r="AE66" i="197"/>
  <c r="T66" i="197"/>
  <c r="AB66" i="197"/>
  <c r="U66" i="197"/>
  <c r="AC66" i="197"/>
  <c r="V54" i="197"/>
  <c r="Z54" i="197"/>
  <c r="AD54" i="197"/>
  <c r="S54" i="197"/>
  <c r="W54" i="197"/>
  <c r="AA54" i="197"/>
  <c r="AE54" i="197"/>
  <c r="X54" i="197"/>
  <c r="Y54" i="197"/>
  <c r="AB54" i="197"/>
  <c r="AC54" i="197"/>
  <c r="V46" i="197"/>
  <c r="Z46" i="197"/>
  <c r="AD46" i="197"/>
  <c r="S46" i="197"/>
  <c r="W46" i="197"/>
  <c r="AA46" i="197"/>
  <c r="AE46" i="197"/>
  <c r="X46" i="197"/>
  <c r="Y46" i="197"/>
  <c r="T46" i="197"/>
  <c r="U46" i="197"/>
  <c r="T38" i="197"/>
  <c r="X38" i="197"/>
  <c r="AB38" i="197"/>
  <c r="U38" i="197"/>
  <c r="Y38" i="197"/>
  <c r="AC38" i="197"/>
  <c r="Z38" i="197"/>
  <c r="S38" i="197"/>
  <c r="AA38" i="197"/>
  <c r="V38" i="197"/>
  <c r="W38" i="197"/>
  <c r="AD38" i="197"/>
  <c r="AE38" i="197"/>
  <c r="T22" i="197"/>
  <c r="X22" i="197"/>
  <c r="AB22" i="197"/>
  <c r="U22" i="197"/>
  <c r="Y22" i="197"/>
  <c r="AC22" i="197"/>
  <c r="V22" i="197"/>
  <c r="AD22" i="197"/>
  <c r="W22" i="197"/>
  <c r="AE22" i="197"/>
  <c r="S22" i="197"/>
  <c r="T10" i="197"/>
  <c r="X10" i="197"/>
  <c r="AB10" i="197"/>
  <c r="U10" i="197"/>
  <c r="Y10" i="197"/>
  <c r="AC10" i="197"/>
  <c r="Z10" i="197"/>
  <c r="S10" i="197"/>
  <c r="AA10" i="197"/>
  <c r="AD10" i="197"/>
  <c r="AE10" i="197"/>
  <c r="V10" i="197"/>
  <c r="W10" i="197"/>
  <c r="R246" i="197"/>
  <c r="R234" i="197"/>
  <c r="R226" i="197"/>
  <c r="R214" i="197"/>
  <c r="R198" i="197"/>
  <c r="R186" i="197"/>
  <c r="R166" i="197"/>
  <c r="R142" i="197"/>
  <c r="R110" i="197"/>
  <c r="R94" i="197"/>
  <c r="AD246" i="197"/>
  <c r="S246" i="197"/>
  <c r="AB242" i="197"/>
  <c r="AA238" i="197"/>
  <c r="T206" i="197"/>
  <c r="AB198" i="197"/>
  <c r="T190" i="197"/>
  <c r="V166" i="197"/>
  <c r="Z22" i="197"/>
  <c r="S248" i="197"/>
  <c r="W248" i="197"/>
  <c r="AA248" i="197"/>
  <c r="AE248" i="197"/>
  <c r="S244" i="197"/>
  <c r="W244" i="197"/>
  <c r="AA244" i="197"/>
  <c r="AE244" i="197"/>
  <c r="S240" i="197"/>
  <c r="W240" i="197"/>
  <c r="AA240" i="197"/>
  <c r="AE240" i="197"/>
  <c r="S236" i="197"/>
  <c r="W236" i="197"/>
  <c r="AA236" i="197"/>
  <c r="AE236" i="197"/>
  <c r="S232" i="197"/>
  <c r="W232" i="197"/>
  <c r="AA232" i="197"/>
  <c r="AE232" i="197"/>
  <c r="T232" i="197"/>
  <c r="X232" i="197"/>
  <c r="AB232" i="197"/>
  <c r="S228" i="197"/>
  <c r="W228" i="197"/>
  <c r="AA228" i="197"/>
  <c r="AE228" i="197"/>
  <c r="T228" i="197"/>
  <c r="X228" i="197"/>
  <c r="AB228" i="197"/>
  <c r="S224" i="197"/>
  <c r="W224" i="197"/>
  <c r="AA224" i="197"/>
  <c r="AE224" i="197"/>
  <c r="T224" i="197"/>
  <c r="X224" i="197"/>
  <c r="AB224" i="197"/>
  <c r="S220" i="197"/>
  <c r="W220" i="197"/>
  <c r="AA220" i="197"/>
  <c r="AE220" i="197"/>
  <c r="T220" i="197"/>
  <c r="X220" i="197"/>
  <c r="AB220" i="197"/>
  <c r="S216" i="197"/>
  <c r="W216" i="197"/>
  <c r="AA216" i="197"/>
  <c r="AE216" i="197"/>
  <c r="T216" i="197"/>
  <c r="X216" i="197"/>
  <c r="AB216" i="197"/>
  <c r="S212" i="197"/>
  <c r="W212" i="197"/>
  <c r="AA212" i="197"/>
  <c r="AE212" i="197"/>
  <c r="T212" i="197"/>
  <c r="X212" i="197"/>
  <c r="AB212" i="197"/>
  <c r="S208" i="197"/>
  <c r="W208" i="197"/>
  <c r="AA208" i="197"/>
  <c r="AE208" i="197"/>
  <c r="T208" i="197"/>
  <c r="X208" i="197"/>
  <c r="AB208" i="197"/>
  <c r="S204" i="197"/>
  <c r="W204" i="197"/>
  <c r="AA204" i="197"/>
  <c r="AE204" i="197"/>
  <c r="T204" i="197"/>
  <c r="X204" i="197"/>
  <c r="AB204" i="197"/>
  <c r="S200" i="197"/>
  <c r="W200" i="197"/>
  <c r="AA200" i="197"/>
  <c r="AE200" i="197"/>
  <c r="T200" i="197"/>
  <c r="X200" i="197"/>
  <c r="AB200" i="197"/>
  <c r="S196" i="197"/>
  <c r="W196" i="197"/>
  <c r="AA196" i="197"/>
  <c r="AE196" i="197"/>
  <c r="T196" i="197"/>
  <c r="X196" i="197"/>
  <c r="AB196" i="197"/>
  <c r="S192" i="197"/>
  <c r="W192" i="197"/>
  <c r="AA192" i="197"/>
  <c r="AE192" i="197"/>
  <c r="T192" i="197"/>
  <c r="X192" i="197"/>
  <c r="AB192" i="197"/>
  <c r="S188" i="197"/>
  <c r="W188" i="197"/>
  <c r="AA188" i="197"/>
  <c r="AE188" i="197"/>
  <c r="T188" i="197"/>
  <c r="X188" i="197"/>
  <c r="AB188" i="197"/>
  <c r="U184" i="197"/>
  <c r="Y184" i="197"/>
  <c r="AC184" i="197"/>
  <c r="S184" i="197"/>
  <c r="X184" i="197"/>
  <c r="AD184" i="197"/>
  <c r="T184" i="197"/>
  <c r="Z184" i="197"/>
  <c r="AE184" i="197"/>
  <c r="U180" i="197"/>
  <c r="Y180" i="197"/>
  <c r="AC180" i="197"/>
  <c r="W180" i="197"/>
  <c r="AB180" i="197"/>
  <c r="S180" i="197"/>
  <c r="X180" i="197"/>
  <c r="AD180" i="197"/>
  <c r="U176" i="197"/>
  <c r="Y176" i="197"/>
  <c r="AC176" i="197"/>
  <c r="V176" i="197"/>
  <c r="AA176" i="197"/>
  <c r="W176" i="197"/>
  <c r="AB176" i="197"/>
  <c r="U172" i="197"/>
  <c r="Y172" i="197"/>
  <c r="AC172" i="197"/>
  <c r="T172" i="197"/>
  <c r="Z172" i="197"/>
  <c r="AE172" i="197"/>
  <c r="V172" i="197"/>
  <c r="AA172" i="197"/>
  <c r="U168" i="197"/>
  <c r="Y168" i="197"/>
  <c r="AC168" i="197"/>
  <c r="S168" i="197"/>
  <c r="X168" i="197"/>
  <c r="AD168" i="197"/>
  <c r="T168" i="197"/>
  <c r="Z168" i="197"/>
  <c r="AE168" i="197"/>
  <c r="U164" i="197"/>
  <c r="Y164" i="197"/>
  <c r="AC164" i="197"/>
  <c r="V164" i="197"/>
  <c r="Z164" i="197"/>
  <c r="AD164" i="197"/>
  <c r="W164" i="197"/>
  <c r="AE164" i="197"/>
  <c r="X164" i="197"/>
  <c r="U160" i="197"/>
  <c r="Y160" i="197"/>
  <c r="AC160" i="197"/>
  <c r="V160" i="197"/>
  <c r="Z160" i="197"/>
  <c r="AD160" i="197"/>
  <c r="S160" i="197"/>
  <c r="AA160" i="197"/>
  <c r="T160" i="197"/>
  <c r="AB160" i="197"/>
  <c r="U156" i="197"/>
  <c r="Y156" i="197"/>
  <c r="AC156" i="197"/>
  <c r="V156" i="197"/>
  <c r="Z156" i="197"/>
  <c r="AD156" i="197"/>
  <c r="W156" i="197"/>
  <c r="AE156" i="197"/>
  <c r="X156" i="197"/>
  <c r="U152" i="197"/>
  <c r="Y152" i="197"/>
  <c r="AC152" i="197"/>
  <c r="V152" i="197"/>
  <c r="Z152" i="197"/>
  <c r="AD152" i="197"/>
  <c r="S152" i="197"/>
  <c r="AA152" i="197"/>
  <c r="T152" i="197"/>
  <c r="AB152" i="197"/>
  <c r="U148" i="197"/>
  <c r="Y148" i="197"/>
  <c r="AC148" i="197"/>
  <c r="V148" i="197"/>
  <c r="Z148" i="197"/>
  <c r="AD148" i="197"/>
  <c r="W148" i="197"/>
  <c r="AE148" i="197"/>
  <c r="X148" i="197"/>
  <c r="U144" i="197"/>
  <c r="Y144" i="197"/>
  <c r="AC144" i="197"/>
  <c r="V144" i="197"/>
  <c r="Z144" i="197"/>
  <c r="AD144" i="197"/>
  <c r="S144" i="197"/>
  <c r="AA144" i="197"/>
  <c r="T144" i="197"/>
  <c r="AB144" i="197"/>
  <c r="U140" i="197"/>
  <c r="Y140" i="197"/>
  <c r="AC140" i="197"/>
  <c r="V140" i="197"/>
  <c r="Z140" i="197"/>
  <c r="AD140" i="197"/>
  <c r="W140" i="197"/>
  <c r="AE140" i="197"/>
  <c r="X140" i="197"/>
  <c r="U136" i="197"/>
  <c r="Y136" i="197"/>
  <c r="AC136" i="197"/>
  <c r="V136" i="197"/>
  <c r="Z136" i="197"/>
  <c r="AD136" i="197"/>
  <c r="S136" i="197"/>
  <c r="AA136" i="197"/>
  <c r="T136" i="197"/>
  <c r="AB136" i="197"/>
  <c r="U132" i="197"/>
  <c r="Y132" i="197"/>
  <c r="AC132" i="197"/>
  <c r="V132" i="197"/>
  <c r="Z132" i="197"/>
  <c r="AD132" i="197"/>
  <c r="W132" i="197"/>
  <c r="AE132" i="197"/>
  <c r="X132" i="197"/>
  <c r="U128" i="197"/>
  <c r="Y128" i="197"/>
  <c r="AC128" i="197"/>
  <c r="V128" i="197"/>
  <c r="Z128" i="197"/>
  <c r="AD128" i="197"/>
  <c r="S128" i="197"/>
  <c r="AA128" i="197"/>
  <c r="T128" i="197"/>
  <c r="AB128" i="197"/>
  <c r="U124" i="197"/>
  <c r="Y124" i="197"/>
  <c r="AC124" i="197"/>
  <c r="V124" i="197"/>
  <c r="Z124" i="197"/>
  <c r="AD124" i="197"/>
  <c r="W124" i="197"/>
  <c r="AE124" i="197"/>
  <c r="X124" i="197"/>
  <c r="U120" i="197"/>
  <c r="Y120" i="197"/>
  <c r="AC120" i="197"/>
  <c r="V120" i="197"/>
  <c r="Z120" i="197"/>
  <c r="AD120" i="197"/>
  <c r="S120" i="197"/>
  <c r="AA120" i="197"/>
  <c r="T120" i="197"/>
  <c r="AB120" i="197"/>
  <c r="U116" i="197"/>
  <c r="T116" i="197"/>
  <c r="Y116" i="197"/>
  <c r="AC116" i="197"/>
  <c r="V116" i="197"/>
  <c r="Z116" i="197"/>
  <c r="AD116" i="197"/>
  <c r="W116" i="197"/>
  <c r="AE116" i="197"/>
  <c r="X116" i="197"/>
  <c r="U112" i="197"/>
  <c r="Y112" i="197"/>
  <c r="AC112" i="197"/>
  <c r="S112" i="197"/>
  <c r="X112" i="197"/>
  <c r="AD112" i="197"/>
  <c r="T112" i="197"/>
  <c r="Z112" i="197"/>
  <c r="AE112" i="197"/>
  <c r="V112" i="197"/>
  <c r="W112" i="197"/>
  <c r="U108" i="197"/>
  <c r="Y108" i="197"/>
  <c r="AC108" i="197"/>
  <c r="W108" i="197"/>
  <c r="AB108" i="197"/>
  <c r="S108" i="197"/>
  <c r="X108" i="197"/>
  <c r="AD108" i="197"/>
  <c r="T108" i="197"/>
  <c r="AE108" i="197"/>
  <c r="V108" i="197"/>
  <c r="U104" i="197"/>
  <c r="Y104" i="197"/>
  <c r="AC104" i="197"/>
  <c r="V104" i="197"/>
  <c r="Z104" i="197"/>
  <c r="AD104" i="197"/>
  <c r="W104" i="197"/>
  <c r="AE104" i="197"/>
  <c r="X104" i="197"/>
  <c r="S104" i="197"/>
  <c r="T104" i="197"/>
  <c r="U100" i="197"/>
  <c r="Y100" i="197"/>
  <c r="AC100" i="197"/>
  <c r="V100" i="197"/>
  <c r="Z100" i="197"/>
  <c r="AD100" i="197"/>
  <c r="S100" i="197"/>
  <c r="AA100" i="197"/>
  <c r="T100" i="197"/>
  <c r="AB100" i="197"/>
  <c r="W100" i="197"/>
  <c r="X100" i="197"/>
  <c r="U96" i="197"/>
  <c r="Y96" i="197"/>
  <c r="AC96" i="197"/>
  <c r="V96" i="197"/>
  <c r="Z96" i="197"/>
  <c r="AD96" i="197"/>
  <c r="W96" i="197"/>
  <c r="AE96" i="197"/>
  <c r="X96" i="197"/>
  <c r="AA96" i="197"/>
  <c r="AB96" i="197"/>
  <c r="U92" i="197"/>
  <c r="Y92" i="197"/>
  <c r="AC92" i="197"/>
  <c r="V92" i="197"/>
  <c r="Z92" i="197"/>
  <c r="AD92" i="197"/>
  <c r="S92" i="197"/>
  <c r="AA92" i="197"/>
  <c r="T92" i="197"/>
  <c r="AB92" i="197"/>
  <c r="AE92" i="197"/>
  <c r="U88" i="197"/>
  <c r="Y88" i="197"/>
  <c r="AC88" i="197"/>
  <c r="V88" i="197"/>
  <c r="Z88" i="197"/>
  <c r="AD88" i="197"/>
  <c r="W88" i="197"/>
  <c r="AE88" i="197"/>
  <c r="X88" i="197"/>
  <c r="S88" i="197"/>
  <c r="T88" i="197"/>
  <c r="U84" i="197"/>
  <c r="Y84" i="197"/>
  <c r="AC84" i="197"/>
  <c r="V84" i="197"/>
  <c r="Z84" i="197"/>
  <c r="AD84" i="197"/>
  <c r="S84" i="197"/>
  <c r="AA84" i="197"/>
  <c r="T84" i="197"/>
  <c r="AB84" i="197"/>
  <c r="W84" i="197"/>
  <c r="X84" i="197"/>
  <c r="T80" i="197"/>
  <c r="X80" i="197"/>
  <c r="AB80" i="197"/>
  <c r="S80" i="197"/>
  <c r="Y80" i="197"/>
  <c r="AD80" i="197"/>
  <c r="U80" i="197"/>
  <c r="Z80" i="197"/>
  <c r="AE80" i="197"/>
  <c r="AA80" i="197"/>
  <c r="AC80" i="197"/>
  <c r="V80" i="197"/>
  <c r="W80" i="197"/>
  <c r="T76" i="197"/>
  <c r="X76" i="197"/>
  <c r="AB76" i="197"/>
  <c r="W76" i="197"/>
  <c r="AC76" i="197"/>
  <c r="S76" i="197"/>
  <c r="Y76" i="197"/>
  <c r="AD76" i="197"/>
  <c r="Z76" i="197"/>
  <c r="AA76" i="197"/>
  <c r="AE76" i="197"/>
  <c r="T72" i="197"/>
  <c r="X72" i="197"/>
  <c r="AB72" i="197"/>
  <c r="U72" i="197"/>
  <c r="Y72" i="197"/>
  <c r="AC72" i="197"/>
  <c r="V72" i="197"/>
  <c r="AD72" i="197"/>
  <c r="W72" i="197"/>
  <c r="AE72" i="197"/>
  <c r="S72" i="197"/>
  <c r="Z72" i="197"/>
  <c r="AA72" i="197"/>
  <c r="T68" i="197"/>
  <c r="X68" i="197"/>
  <c r="AB68" i="197"/>
  <c r="U68" i="197"/>
  <c r="Y68" i="197"/>
  <c r="AC68" i="197"/>
  <c r="Z68" i="197"/>
  <c r="S68" i="197"/>
  <c r="AA68" i="197"/>
  <c r="V68" i="197"/>
  <c r="W68" i="197"/>
  <c r="T64" i="197"/>
  <c r="X64" i="197"/>
  <c r="AB64" i="197"/>
  <c r="U64" i="197"/>
  <c r="Y64" i="197"/>
  <c r="AC64" i="197"/>
  <c r="V64" i="197"/>
  <c r="AD64" i="197"/>
  <c r="W64" i="197"/>
  <c r="AE64" i="197"/>
  <c r="Z64" i="197"/>
  <c r="AA64" i="197"/>
  <c r="T60" i="197"/>
  <c r="X60" i="197"/>
  <c r="AB60" i="197"/>
  <c r="U60" i="197"/>
  <c r="Y60" i="197"/>
  <c r="AC60" i="197"/>
  <c r="Z60" i="197"/>
  <c r="S60" i="197"/>
  <c r="AA60" i="197"/>
  <c r="AD60" i="197"/>
  <c r="AE60" i="197"/>
  <c r="V60" i="197"/>
  <c r="W60" i="197"/>
  <c r="T56" i="197"/>
  <c r="X56" i="197"/>
  <c r="AB56" i="197"/>
  <c r="U56" i="197"/>
  <c r="Y56" i="197"/>
  <c r="AC56" i="197"/>
  <c r="V56" i="197"/>
  <c r="AD56" i="197"/>
  <c r="W56" i="197"/>
  <c r="AE56" i="197"/>
  <c r="S56" i="197"/>
  <c r="T52" i="197"/>
  <c r="X52" i="197"/>
  <c r="AB52" i="197"/>
  <c r="U52" i="197"/>
  <c r="Y52" i="197"/>
  <c r="AC52" i="197"/>
  <c r="Z52" i="197"/>
  <c r="S52" i="197"/>
  <c r="AA52" i="197"/>
  <c r="V52" i="197"/>
  <c r="W52" i="197"/>
  <c r="AD52" i="197"/>
  <c r="AE52" i="197"/>
  <c r="T48" i="197"/>
  <c r="X48" i="197"/>
  <c r="AB48" i="197"/>
  <c r="U48" i="197"/>
  <c r="Y48" i="197"/>
  <c r="AC48" i="197"/>
  <c r="V48" i="197"/>
  <c r="AD48" i="197"/>
  <c r="W48" i="197"/>
  <c r="AE48" i="197"/>
  <c r="Z48" i="197"/>
  <c r="AA48" i="197"/>
  <c r="S48" i="197"/>
  <c r="V44" i="197"/>
  <c r="Z44" i="197"/>
  <c r="AD44" i="197"/>
  <c r="T44" i="197"/>
  <c r="Y44" i="197"/>
  <c r="AE44" i="197"/>
  <c r="U44" i="197"/>
  <c r="AA44" i="197"/>
  <c r="W44" i="197"/>
  <c r="X44" i="197"/>
  <c r="AB44" i="197"/>
  <c r="AC44" i="197"/>
  <c r="V40" i="197"/>
  <c r="Z40" i="197"/>
  <c r="AD40" i="197"/>
  <c r="S40" i="197"/>
  <c r="W40" i="197"/>
  <c r="AA40" i="197"/>
  <c r="AE40" i="197"/>
  <c r="X40" i="197"/>
  <c r="Y40" i="197"/>
  <c r="AB40" i="197"/>
  <c r="AC40" i="197"/>
  <c r="V36" i="197"/>
  <c r="Z36" i="197"/>
  <c r="AD36" i="197"/>
  <c r="S36" i="197"/>
  <c r="W36" i="197"/>
  <c r="AA36" i="197"/>
  <c r="AE36" i="197"/>
  <c r="T36" i="197"/>
  <c r="AB36" i="197"/>
  <c r="U36" i="197"/>
  <c r="AC36" i="197"/>
  <c r="X36" i="197"/>
  <c r="Y36" i="197"/>
  <c r="V32" i="197"/>
  <c r="Z32" i="197"/>
  <c r="AD32" i="197"/>
  <c r="S32" i="197"/>
  <c r="W32" i="197"/>
  <c r="AA32" i="197"/>
  <c r="AE32" i="197"/>
  <c r="X32" i="197"/>
  <c r="Y32" i="197"/>
  <c r="T32" i="197"/>
  <c r="U32" i="197"/>
  <c r="AB32" i="197"/>
  <c r="AC32" i="197"/>
  <c r="V28" i="197"/>
  <c r="Z28" i="197"/>
  <c r="AD28" i="197"/>
  <c r="S28" i="197"/>
  <c r="X28" i="197"/>
  <c r="AC28" i="197"/>
  <c r="T28" i="197"/>
  <c r="Y28" i="197"/>
  <c r="AE28" i="197"/>
  <c r="AA28" i="197"/>
  <c r="AB28" i="197"/>
  <c r="U28" i="197"/>
  <c r="W28" i="197"/>
  <c r="V24" i="197"/>
  <c r="Z24" i="197"/>
  <c r="AD24" i="197"/>
  <c r="S24" i="197"/>
  <c r="W24" i="197"/>
  <c r="AA24" i="197"/>
  <c r="AE24" i="197"/>
  <c r="T24" i="197"/>
  <c r="AB24" i="197"/>
  <c r="U24" i="197"/>
  <c r="AC24" i="197"/>
  <c r="X24" i="197"/>
  <c r="Y24" i="197"/>
  <c r="V20" i="197"/>
  <c r="Z20" i="197"/>
  <c r="AD20" i="197"/>
  <c r="S20" i="197"/>
  <c r="W20" i="197"/>
  <c r="AA20" i="197"/>
  <c r="AE20" i="197"/>
  <c r="X20" i="197"/>
  <c r="Y20" i="197"/>
  <c r="AB20" i="197"/>
  <c r="AC20" i="197"/>
  <c r="T20" i="197"/>
  <c r="U20" i="197"/>
  <c r="V16" i="197"/>
  <c r="Z16" i="197"/>
  <c r="AD16" i="197"/>
  <c r="S16" i="197"/>
  <c r="W16" i="197"/>
  <c r="AA16" i="197"/>
  <c r="AE16" i="197"/>
  <c r="T16" i="197"/>
  <c r="AB16" i="197"/>
  <c r="U16" i="197"/>
  <c r="AC16" i="197"/>
  <c r="X16" i="197"/>
  <c r="Y16" i="197"/>
  <c r="V12" i="197"/>
  <c r="Z12" i="197"/>
  <c r="AD12" i="197"/>
  <c r="S12" i="197"/>
  <c r="W12" i="197"/>
  <c r="AA12" i="197"/>
  <c r="AE12" i="197"/>
  <c r="X12" i="197"/>
  <c r="Y12" i="197"/>
  <c r="T12" i="197"/>
  <c r="U12" i="197"/>
  <c r="V8" i="197"/>
  <c r="Z8" i="197"/>
  <c r="AD8" i="197"/>
  <c r="S8" i="197"/>
  <c r="W8" i="197"/>
  <c r="AA8" i="197"/>
  <c r="AE8" i="197"/>
  <c r="T8" i="197"/>
  <c r="AB8" i="197"/>
  <c r="U8" i="197"/>
  <c r="AC8" i="197"/>
  <c r="X8" i="197"/>
  <c r="Y8" i="197"/>
  <c r="V4" i="197"/>
  <c r="Z4" i="197"/>
  <c r="AD4" i="197"/>
  <c r="S4" i="197"/>
  <c r="W4" i="197"/>
  <c r="AA4" i="197"/>
  <c r="AE4" i="197"/>
  <c r="X4" i="197"/>
  <c r="Y4" i="197"/>
  <c r="AB4" i="197"/>
  <c r="AC4" i="197"/>
  <c r="T4" i="197"/>
  <c r="U4" i="197"/>
  <c r="R248" i="197"/>
  <c r="R244" i="197"/>
  <c r="R240" i="197"/>
  <c r="R236" i="197"/>
  <c r="R232" i="197"/>
  <c r="R228" i="197"/>
  <c r="R224" i="197"/>
  <c r="R220" i="197"/>
  <c r="R216" i="197"/>
  <c r="R212" i="197"/>
  <c r="R208" i="197"/>
  <c r="R204" i="197"/>
  <c r="R200" i="197"/>
  <c r="R196" i="197"/>
  <c r="R192" i="197"/>
  <c r="R188" i="197"/>
  <c r="R184" i="197"/>
  <c r="R180" i="197"/>
  <c r="R176" i="197"/>
  <c r="R172" i="197"/>
  <c r="R168" i="197"/>
  <c r="R164" i="197"/>
  <c r="R160" i="197"/>
  <c r="R156" i="197"/>
  <c r="R152" i="197"/>
  <c r="R148" i="197"/>
  <c r="R144" i="197"/>
  <c r="R134" i="197"/>
  <c r="R128" i="197"/>
  <c r="R112" i="197"/>
  <c r="R107" i="197"/>
  <c r="R102" i="197"/>
  <c r="R96" i="197"/>
  <c r="R86" i="197"/>
  <c r="R80" i="197"/>
  <c r="R64" i="197"/>
  <c r="R54" i="197"/>
  <c r="R48" i="197"/>
  <c r="R38" i="197"/>
  <c r="R32" i="197"/>
  <c r="R22" i="197"/>
  <c r="R16" i="197"/>
  <c r="AE249" i="197"/>
  <c r="Y249" i="197"/>
  <c r="AB248" i="197"/>
  <c r="V248" i="197"/>
  <c r="AD247" i="197"/>
  <c r="Y247" i="197"/>
  <c r="AA246" i="197"/>
  <c r="V246" i="197"/>
  <c r="AC245" i="197"/>
  <c r="X245" i="197"/>
  <c r="Z244" i="197"/>
  <c r="U244" i="197"/>
  <c r="AC243" i="197"/>
  <c r="AE242" i="197"/>
  <c r="Z242" i="197"/>
  <c r="AB241" i="197"/>
  <c r="AD240" i="197"/>
  <c r="Y240" i="197"/>
  <c r="T240" i="197"/>
  <c r="AA239" i="197"/>
  <c r="AD238" i="197"/>
  <c r="X238" i="197"/>
  <c r="AA237" i="197"/>
  <c r="AC236" i="197"/>
  <c r="X236" i="197"/>
  <c r="AE235" i="197"/>
  <c r="Z235" i="197"/>
  <c r="AB234" i="197"/>
  <c r="T234" i="197"/>
  <c r="AD232" i="197"/>
  <c r="V232" i="197"/>
  <c r="AA231" i="197"/>
  <c r="AC229" i="197"/>
  <c r="Z228" i="197"/>
  <c r="AE227" i="197"/>
  <c r="AB226" i="197"/>
  <c r="T226" i="197"/>
  <c r="AD224" i="197"/>
  <c r="V224" i="197"/>
  <c r="AA223" i="197"/>
  <c r="AC221" i="197"/>
  <c r="Z220" i="197"/>
  <c r="AE219" i="197"/>
  <c r="AB218" i="197"/>
  <c r="T218" i="197"/>
  <c r="AD216" i="197"/>
  <c r="V216" i="197"/>
  <c r="AA215" i="197"/>
  <c r="AC213" i="197"/>
  <c r="Z212" i="197"/>
  <c r="AE211" i="197"/>
  <c r="AB210" i="197"/>
  <c r="AD208" i="197"/>
  <c r="V208" i="197"/>
  <c r="AA207" i="197"/>
  <c r="X206" i="197"/>
  <c r="AC205" i="197"/>
  <c r="Z204" i="197"/>
  <c r="AE203" i="197"/>
  <c r="AB202" i="197"/>
  <c r="AD200" i="197"/>
  <c r="V200" i="197"/>
  <c r="AA199" i="197"/>
  <c r="X198" i="197"/>
  <c r="AC197" i="197"/>
  <c r="Z196" i="197"/>
  <c r="AE195" i="197"/>
  <c r="AB194" i="197"/>
  <c r="AD192" i="197"/>
  <c r="V192" i="197"/>
  <c r="AA191" i="197"/>
  <c r="AC189" i="197"/>
  <c r="Z188" i="197"/>
  <c r="AE187" i="197"/>
  <c r="X186" i="197"/>
  <c r="AB184" i="197"/>
  <c r="AE183" i="197"/>
  <c r="AA180" i="197"/>
  <c r="AC179" i="197"/>
  <c r="U178" i="197"/>
  <c r="Z176" i="197"/>
  <c r="AD174" i="197"/>
  <c r="X172" i="197"/>
  <c r="AE169" i="197"/>
  <c r="W168" i="197"/>
  <c r="AB166" i="197"/>
  <c r="AB164" i="197"/>
  <c r="T156" i="197"/>
  <c r="AD154" i="197"/>
  <c r="X152" i="197"/>
  <c r="AB148" i="197"/>
  <c r="V146" i="197"/>
  <c r="T140" i="197"/>
  <c r="X136" i="197"/>
  <c r="AB132" i="197"/>
  <c r="T124" i="197"/>
  <c r="AD122" i="197"/>
  <c r="X120" i="197"/>
  <c r="AB116" i="197"/>
  <c r="V110" i="197"/>
  <c r="AA108" i="197"/>
  <c r="AB104" i="197"/>
  <c r="X92" i="197"/>
  <c r="V76" i="197"/>
  <c r="Y66" i="197"/>
  <c r="AA56" i="197"/>
  <c r="AC46" i="197"/>
  <c r="U40" i="197"/>
  <c r="AC12" i="197"/>
  <c r="S3" i="197"/>
  <c r="W3" i="197"/>
  <c r="AA3" i="197"/>
  <c r="AE3" i="197"/>
  <c r="T3" i="197"/>
  <c r="X3" i="197"/>
  <c r="AB3" i="197"/>
  <c r="U3" i="197"/>
  <c r="AC3" i="197"/>
  <c r="V3" i="197"/>
  <c r="AD3" i="197"/>
  <c r="Y3" i="197"/>
  <c r="Z3" i="197"/>
  <c r="U242" i="197"/>
  <c r="Y242" i="197"/>
  <c r="AC242" i="197"/>
  <c r="U238" i="197"/>
  <c r="Y238" i="197"/>
  <c r="AC238" i="197"/>
  <c r="U230" i="197"/>
  <c r="Y230" i="197"/>
  <c r="AC230" i="197"/>
  <c r="V230" i="197"/>
  <c r="Z230" i="197"/>
  <c r="AD230" i="197"/>
  <c r="U222" i="197"/>
  <c r="Y222" i="197"/>
  <c r="AC222" i="197"/>
  <c r="V222" i="197"/>
  <c r="Z222" i="197"/>
  <c r="AD222" i="197"/>
  <c r="U214" i="197"/>
  <c r="Y214" i="197"/>
  <c r="AC214" i="197"/>
  <c r="V214" i="197"/>
  <c r="Z214" i="197"/>
  <c r="AD214" i="197"/>
  <c r="U210" i="197"/>
  <c r="Y210" i="197"/>
  <c r="AC210" i="197"/>
  <c r="V210" i="197"/>
  <c r="Z210" i="197"/>
  <c r="AD210" i="197"/>
  <c r="U202" i="197"/>
  <c r="Y202" i="197"/>
  <c r="AC202" i="197"/>
  <c r="V202" i="197"/>
  <c r="Z202" i="197"/>
  <c r="AD202" i="197"/>
  <c r="U194" i="197"/>
  <c r="Y194" i="197"/>
  <c r="AC194" i="197"/>
  <c r="V194" i="197"/>
  <c r="Z194" i="197"/>
  <c r="AD194" i="197"/>
  <c r="U190" i="197"/>
  <c r="Y190" i="197"/>
  <c r="AC190" i="197"/>
  <c r="V190" i="197"/>
  <c r="Z190" i="197"/>
  <c r="AD190" i="197"/>
  <c r="S182" i="197"/>
  <c r="W182" i="197"/>
  <c r="AA182" i="197"/>
  <c r="AE182" i="197"/>
  <c r="X182" i="197"/>
  <c r="AC182" i="197"/>
  <c r="T182" i="197"/>
  <c r="Y182" i="197"/>
  <c r="AD182" i="197"/>
  <c r="S174" i="197"/>
  <c r="W174" i="197"/>
  <c r="AA174" i="197"/>
  <c r="AE174" i="197"/>
  <c r="U174" i="197"/>
  <c r="Z174" i="197"/>
  <c r="V174" i="197"/>
  <c r="AB174" i="197"/>
  <c r="S170" i="197"/>
  <c r="W170" i="197"/>
  <c r="AA170" i="197"/>
  <c r="AE170" i="197"/>
  <c r="T170" i="197"/>
  <c r="Y170" i="197"/>
  <c r="AD170" i="197"/>
  <c r="U170" i="197"/>
  <c r="Z170" i="197"/>
  <c r="S162" i="197"/>
  <c r="W162" i="197"/>
  <c r="AA162" i="197"/>
  <c r="AE162" i="197"/>
  <c r="T162" i="197"/>
  <c r="X162" i="197"/>
  <c r="AB162" i="197"/>
  <c r="Y162" i="197"/>
  <c r="Z162" i="197"/>
  <c r="S158" i="197"/>
  <c r="W158" i="197"/>
  <c r="AA158" i="197"/>
  <c r="AE158" i="197"/>
  <c r="T158" i="197"/>
  <c r="X158" i="197"/>
  <c r="AB158" i="197"/>
  <c r="U158" i="197"/>
  <c r="AC158" i="197"/>
  <c r="V158" i="197"/>
  <c r="AD158" i="197"/>
  <c r="S150" i="197"/>
  <c r="W150" i="197"/>
  <c r="AA150" i="197"/>
  <c r="AE150" i="197"/>
  <c r="T150" i="197"/>
  <c r="X150" i="197"/>
  <c r="AB150" i="197"/>
  <c r="U150" i="197"/>
  <c r="AC150" i="197"/>
  <c r="V150" i="197"/>
  <c r="AD150" i="197"/>
  <c r="S142" i="197"/>
  <c r="W142" i="197"/>
  <c r="AA142" i="197"/>
  <c r="AE142" i="197"/>
  <c r="T142" i="197"/>
  <c r="X142" i="197"/>
  <c r="AB142" i="197"/>
  <c r="U142" i="197"/>
  <c r="AC142" i="197"/>
  <c r="V142" i="197"/>
  <c r="AD142" i="197"/>
  <c r="S138" i="197"/>
  <c r="W138" i="197"/>
  <c r="AA138" i="197"/>
  <c r="AE138" i="197"/>
  <c r="T138" i="197"/>
  <c r="X138" i="197"/>
  <c r="AB138" i="197"/>
  <c r="Y138" i="197"/>
  <c r="Z138" i="197"/>
  <c r="S130" i="197"/>
  <c r="W130" i="197"/>
  <c r="AA130" i="197"/>
  <c r="AE130" i="197"/>
  <c r="T130" i="197"/>
  <c r="X130" i="197"/>
  <c r="AB130" i="197"/>
  <c r="Y130" i="197"/>
  <c r="Z130" i="197"/>
  <c r="S126" i="197"/>
  <c r="W126" i="197"/>
  <c r="AA126" i="197"/>
  <c r="AE126" i="197"/>
  <c r="T126" i="197"/>
  <c r="X126" i="197"/>
  <c r="AB126" i="197"/>
  <c r="U126" i="197"/>
  <c r="AC126" i="197"/>
  <c r="V126" i="197"/>
  <c r="AD126" i="197"/>
  <c r="S118" i="197"/>
  <c r="W118" i="197"/>
  <c r="AA118" i="197"/>
  <c r="AE118" i="197"/>
  <c r="T118" i="197"/>
  <c r="X118" i="197"/>
  <c r="AB118" i="197"/>
  <c r="U118" i="197"/>
  <c r="AC118" i="197"/>
  <c r="V118" i="197"/>
  <c r="AD118" i="197"/>
  <c r="S114" i="197"/>
  <c r="W114" i="197"/>
  <c r="AA114" i="197"/>
  <c r="AE114" i="197"/>
  <c r="T114" i="197"/>
  <c r="Y114" i="197"/>
  <c r="AD114" i="197"/>
  <c r="U114" i="197"/>
  <c r="Z114" i="197"/>
  <c r="AB114" i="197"/>
  <c r="AC114" i="197"/>
  <c r="S106" i="197"/>
  <c r="W106" i="197"/>
  <c r="AA106" i="197"/>
  <c r="AE106" i="197"/>
  <c r="T106" i="197"/>
  <c r="X106" i="197"/>
  <c r="U106" i="197"/>
  <c r="AB106" i="197"/>
  <c r="V106" i="197"/>
  <c r="AC106" i="197"/>
  <c r="Y106" i="197"/>
  <c r="Z106" i="197"/>
  <c r="S102" i="197"/>
  <c r="W102" i="197"/>
  <c r="AA102" i="197"/>
  <c r="AE102" i="197"/>
  <c r="T102" i="197"/>
  <c r="X102" i="197"/>
  <c r="AB102" i="197"/>
  <c r="Y102" i="197"/>
  <c r="Z102" i="197"/>
  <c r="AC102" i="197"/>
  <c r="AD102" i="197"/>
  <c r="S94" i="197"/>
  <c r="W94" i="197"/>
  <c r="AA94" i="197"/>
  <c r="AE94" i="197"/>
  <c r="T94" i="197"/>
  <c r="X94" i="197"/>
  <c r="AB94" i="197"/>
  <c r="Y94" i="197"/>
  <c r="Z94" i="197"/>
  <c r="U94" i="197"/>
  <c r="V94" i="197"/>
  <c r="S90" i="197"/>
  <c r="W90" i="197"/>
  <c r="AA90" i="197"/>
  <c r="AE90" i="197"/>
  <c r="T90" i="197"/>
  <c r="X90" i="197"/>
  <c r="AB90" i="197"/>
  <c r="U90" i="197"/>
  <c r="AC90" i="197"/>
  <c r="V90" i="197"/>
  <c r="AD90" i="197"/>
  <c r="Y90" i="197"/>
  <c r="Z90" i="197"/>
  <c r="S82" i="197"/>
  <c r="W82" i="197"/>
  <c r="AA82" i="197"/>
  <c r="AE82" i="197"/>
  <c r="T82" i="197"/>
  <c r="X82" i="197"/>
  <c r="AB82" i="197"/>
  <c r="U82" i="197"/>
  <c r="AC82" i="197"/>
  <c r="V82" i="197"/>
  <c r="AD82" i="197"/>
  <c r="V78" i="197"/>
  <c r="Z78" i="197"/>
  <c r="AD78" i="197"/>
  <c r="S78" i="197"/>
  <c r="X78" i="197"/>
  <c r="AC78" i="197"/>
  <c r="T78" i="197"/>
  <c r="Y78" i="197"/>
  <c r="AE78" i="197"/>
  <c r="U78" i="197"/>
  <c r="W78" i="197"/>
  <c r="AA78" i="197"/>
  <c r="AB78" i="197"/>
  <c r="V70" i="197"/>
  <c r="Z70" i="197"/>
  <c r="AD70" i="197"/>
  <c r="S70" i="197"/>
  <c r="W70" i="197"/>
  <c r="AA70" i="197"/>
  <c r="AE70" i="197"/>
  <c r="X70" i="197"/>
  <c r="Y70" i="197"/>
  <c r="AB70" i="197"/>
  <c r="AC70" i="197"/>
  <c r="T70" i="197"/>
  <c r="U70" i="197"/>
  <c r="V62" i="197"/>
  <c r="Z62" i="197"/>
  <c r="AD62" i="197"/>
  <c r="S62" i="197"/>
  <c r="W62" i="197"/>
  <c r="AA62" i="197"/>
  <c r="AE62" i="197"/>
  <c r="X62" i="197"/>
  <c r="Y62" i="197"/>
  <c r="T62" i="197"/>
  <c r="U62" i="197"/>
  <c r="AB62" i="197"/>
  <c r="AC62" i="197"/>
  <c r="V58" i="197"/>
  <c r="Z58" i="197"/>
  <c r="AD58" i="197"/>
  <c r="S58" i="197"/>
  <c r="W58" i="197"/>
  <c r="AA58" i="197"/>
  <c r="AE58" i="197"/>
  <c r="T58" i="197"/>
  <c r="AB58" i="197"/>
  <c r="U58" i="197"/>
  <c r="AC58" i="197"/>
  <c r="X58" i="197"/>
  <c r="Y58" i="197"/>
  <c r="V50" i="197"/>
  <c r="Z50" i="197"/>
  <c r="AD50" i="197"/>
  <c r="S50" i="197"/>
  <c r="W50" i="197"/>
  <c r="AA50" i="197"/>
  <c r="AE50" i="197"/>
  <c r="T50" i="197"/>
  <c r="AB50" i="197"/>
  <c r="U50" i="197"/>
  <c r="AC50" i="197"/>
  <c r="X50" i="197"/>
  <c r="Y50" i="197"/>
  <c r="T42" i="197"/>
  <c r="X42" i="197"/>
  <c r="AB42" i="197"/>
  <c r="S42" i="197"/>
  <c r="Y42" i="197"/>
  <c r="AD42" i="197"/>
  <c r="U42" i="197"/>
  <c r="Z42" i="197"/>
  <c r="AE42" i="197"/>
  <c r="AA42" i="197"/>
  <c r="AC42" i="197"/>
  <c r="V42" i="197"/>
  <c r="W42" i="197"/>
  <c r="T34" i="197"/>
  <c r="X34" i="197"/>
  <c r="AB34" i="197"/>
  <c r="U34" i="197"/>
  <c r="Y34" i="197"/>
  <c r="AC34" i="197"/>
  <c r="V34" i="197"/>
  <c r="AD34" i="197"/>
  <c r="W34" i="197"/>
  <c r="AE34" i="197"/>
  <c r="Z34" i="197"/>
  <c r="AA34" i="197"/>
  <c r="S34" i="197"/>
  <c r="T30" i="197"/>
  <c r="X30" i="197"/>
  <c r="AB30" i="197"/>
  <c r="U30" i="197"/>
  <c r="Y30" i="197"/>
  <c r="AC30" i="197"/>
  <c r="Z30" i="197"/>
  <c r="S30" i="197"/>
  <c r="AA30" i="197"/>
  <c r="AD30" i="197"/>
  <c r="AE30" i="197"/>
  <c r="T26" i="197"/>
  <c r="X26" i="197"/>
  <c r="AB26" i="197"/>
  <c r="U26" i="197"/>
  <c r="Y26" i="197"/>
  <c r="AC26" i="197"/>
  <c r="Z26" i="197"/>
  <c r="S26" i="197"/>
  <c r="AA26" i="197"/>
  <c r="AD26" i="197"/>
  <c r="AE26" i="197"/>
  <c r="V26" i="197"/>
  <c r="W26" i="197"/>
  <c r="T18" i="197"/>
  <c r="X18" i="197"/>
  <c r="AB18" i="197"/>
  <c r="U18" i="197"/>
  <c r="Y18" i="197"/>
  <c r="AC18" i="197"/>
  <c r="Z18" i="197"/>
  <c r="S18" i="197"/>
  <c r="AA18" i="197"/>
  <c r="V18" i="197"/>
  <c r="W18" i="197"/>
  <c r="AD18" i="197"/>
  <c r="AE18" i="197"/>
  <c r="T14" i="197"/>
  <c r="X14" i="197"/>
  <c r="AB14" i="197"/>
  <c r="U14" i="197"/>
  <c r="Y14" i="197"/>
  <c r="AC14" i="197"/>
  <c r="V14" i="197"/>
  <c r="AD14" i="197"/>
  <c r="W14" i="197"/>
  <c r="AE14" i="197"/>
  <c r="Z14" i="197"/>
  <c r="AA14" i="197"/>
  <c r="S14" i="197"/>
  <c r="T6" i="197"/>
  <c r="X6" i="197"/>
  <c r="AB6" i="197"/>
  <c r="U6" i="197"/>
  <c r="Y6" i="197"/>
  <c r="AC6" i="197"/>
  <c r="V6" i="197"/>
  <c r="AD6" i="197"/>
  <c r="W6" i="197"/>
  <c r="AE6" i="197"/>
  <c r="S6" i="197"/>
  <c r="Z6" i="197"/>
  <c r="AA6" i="197"/>
  <c r="R242" i="197"/>
  <c r="R238" i="197"/>
  <c r="R230" i="197"/>
  <c r="R222" i="197"/>
  <c r="R218" i="197"/>
  <c r="R210" i="197"/>
  <c r="R206" i="197"/>
  <c r="R202" i="197"/>
  <c r="R194" i="197"/>
  <c r="R190" i="197"/>
  <c r="R182" i="197"/>
  <c r="R178" i="197"/>
  <c r="R174" i="197"/>
  <c r="R170" i="197"/>
  <c r="R162" i="197"/>
  <c r="R158" i="197"/>
  <c r="R154" i="197"/>
  <c r="R146" i="197"/>
  <c r="R126" i="197"/>
  <c r="R78" i="197"/>
  <c r="R62" i="197"/>
  <c r="R46" i="197"/>
  <c r="R30" i="197"/>
  <c r="X246" i="197"/>
  <c r="W242" i="197"/>
  <c r="V238" i="197"/>
  <c r="AE234" i="197"/>
  <c r="X234" i="197"/>
  <c r="AB230" i="197"/>
  <c r="T230" i="197"/>
  <c r="X226" i="197"/>
  <c r="AB222" i="197"/>
  <c r="T222" i="197"/>
  <c r="X218" i="197"/>
  <c r="AB214" i="197"/>
  <c r="T214" i="197"/>
  <c r="X210" i="197"/>
  <c r="AB206" i="197"/>
  <c r="X202" i="197"/>
  <c r="T198" i="197"/>
  <c r="X194" i="197"/>
  <c r="AB190" i="197"/>
  <c r="AC186" i="197"/>
  <c r="AB182" i="197"/>
  <c r="Z178" i="197"/>
  <c r="Y174" i="197"/>
  <c r="X170" i="197"/>
  <c r="AD162" i="197"/>
  <c r="V154" i="197"/>
  <c r="Z150" i="197"/>
  <c r="AD146" i="197"/>
  <c r="V138" i="197"/>
  <c r="Z134" i="197"/>
  <c r="AD130" i="197"/>
  <c r="V122" i="197"/>
  <c r="Z118" i="197"/>
  <c r="X114" i="197"/>
  <c r="Z98" i="197"/>
  <c r="V86" i="197"/>
  <c r="U54" i="197"/>
  <c r="AA22" i="197"/>
  <c r="V249" i="197"/>
  <c r="Z249" i="197"/>
  <c r="AD249" i="197"/>
  <c r="V245" i="197"/>
  <c r="Z245" i="197"/>
  <c r="AD245" i="197"/>
  <c r="V241" i="197"/>
  <c r="Z241" i="197"/>
  <c r="AD241" i="197"/>
  <c r="V237" i="197"/>
  <c r="Z237" i="197"/>
  <c r="AD237" i="197"/>
  <c r="V233" i="197"/>
  <c r="Z233" i="197"/>
  <c r="AD233" i="197"/>
  <c r="S233" i="197"/>
  <c r="W233" i="197"/>
  <c r="AA233" i="197"/>
  <c r="AE233" i="197"/>
  <c r="V229" i="197"/>
  <c r="Z229" i="197"/>
  <c r="AD229" i="197"/>
  <c r="S229" i="197"/>
  <c r="W229" i="197"/>
  <c r="AA229" i="197"/>
  <c r="AE229" i="197"/>
  <c r="V225" i="197"/>
  <c r="Z225" i="197"/>
  <c r="AD225" i="197"/>
  <c r="S225" i="197"/>
  <c r="W225" i="197"/>
  <c r="AA225" i="197"/>
  <c r="AE225" i="197"/>
  <c r="V221" i="197"/>
  <c r="Z221" i="197"/>
  <c r="AD221" i="197"/>
  <c r="S221" i="197"/>
  <c r="W221" i="197"/>
  <c r="AA221" i="197"/>
  <c r="AE221" i="197"/>
  <c r="V217" i="197"/>
  <c r="Z217" i="197"/>
  <c r="AD217" i="197"/>
  <c r="S217" i="197"/>
  <c r="W217" i="197"/>
  <c r="AA217" i="197"/>
  <c r="AE217" i="197"/>
  <c r="V213" i="197"/>
  <c r="Z213" i="197"/>
  <c r="AD213" i="197"/>
  <c r="S213" i="197"/>
  <c r="W213" i="197"/>
  <c r="AA213" i="197"/>
  <c r="AE213" i="197"/>
  <c r="V209" i="197"/>
  <c r="Z209" i="197"/>
  <c r="AD209" i="197"/>
  <c r="S209" i="197"/>
  <c r="W209" i="197"/>
  <c r="AA209" i="197"/>
  <c r="AE209" i="197"/>
  <c r="V205" i="197"/>
  <c r="Z205" i="197"/>
  <c r="AD205" i="197"/>
  <c r="S205" i="197"/>
  <c r="W205" i="197"/>
  <c r="AA205" i="197"/>
  <c r="AE205" i="197"/>
  <c r="V201" i="197"/>
  <c r="Z201" i="197"/>
  <c r="AD201" i="197"/>
  <c r="S201" i="197"/>
  <c r="W201" i="197"/>
  <c r="AA201" i="197"/>
  <c r="AE201" i="197"/>
  <c r="V197" i="197"/>
  <c r="Z197" i="197"/>
  <c r="AD197" i="197"/>
  <c r="S197" i="197"/>
  <c r="W197" i="197"/>
  <c r="AA197" i="197"/>
  <c r="AE197" i="197"/>
  <c r="V193" i="197"/>
  <c r="Z193" i="197"/>
  <c r="AD193" i="197"/>
  <c r="S193" i="197"/>
  <c r="W193" i="197"/>
  <c r="AA193" i="197"/>
  <c r="AE193" i="197"/>
  <c r="V189" i="197"/>
  <c r="Z189" i="197"/>
  <c r="AD189" i="197"/>
  <c r="S189" i="197"/>
  <c r="W189" i="197"/>
  <c r="AA189" i="197"/>
  <c r="AE189" i="197"/>
  <c r="T185" i="197"/>
  <c r="X185" i="197"/>
  <c r="AB185" i="197"/>
  <c r="V185" i="197"/>
  <c r="AA185" i="197"/>
  <c r="W185" i="197"/>
  <c r="AC185" i="197"/>
  <c r="T181" i="197"/>
  <c r="X181" i="197"/>
  <c r="AB181" i="197"/>
  <c r="U181" i="197"/>
  <c r="Z181" i="197"/>
  <c r="AE181" i="197"/>
  <c r="V181" i="197"/>
  <c r="AA181" i="197"/>
  <c r="T177" i="197"/>
  <c r="X177" i="197"/>
  <c r="AB177" i="197"/>
  <c r="S177" i="197"/>
  <c r="Y177" i="197"/>
  <c r="AD177" i="197"/>
  <c r="U177" i="197"/>
  <c r="Z177" i="197"/>
  <c r="AE177" i="197"/>
  <c r="T173" i="197"/>
  <c r="X173" i="197"/>
  <c r="AB173" i="197"/>
  <c r="W173" i="197"/>
  <c r="AC173" i="197"/>
  <c r="S173" i="197"/>
  <c r="Y173" i="197"/>
  <c r="AD173" i="197"/>
  <c r="T169" i="197"/>
  <c r="X169" i="197"/>
  <c r="AB169" i="197"/>
  <c r="V169" i="197"/>
  <c r="AA169" i="197"/>
  <c r="W169" i="197"/>
  <c r="AC169" i="197"/>
  <c r="T165" i="197"/>
  <c r="X165" i="197"/>
  <c r="AB165" i="197"/>
  <c r="U165" i="197"/>
  <c r="Y165" i="197"/>
  <c r="Z165" i="197"/>
  <c r="AE165" i="197"/>
  <c r="S165" i="197"/>
  <c r="AA165" i="197"/>
  <c r="T161" i="197"/>
  <c r="X161" i="197"/>
  <c r="AB161" i="197"/>
  <c r="U161" i="197"/>
  <c r="Y161" i="197"/>
  <c r="AC161" i="197"/>
  <c r="V161" i="197"/>
  <c r="AD161" i="197"/>
  <c r="W161" i="197"/>
  <c r="AE161" i="197"/>
  <c r="T157" i="197"/>
  <c r="X157" i="197"/>
  <c r="AB157" i="197"/>
  <c r="U157" i="197"/>
  <c r="Y157" i="197"/>
  <c r="AC157" i="197"/>
  <c r="Z157" i="197"/>
  <c r="S157" i="197"/>
  <c r="AA157" i="197"/>
  <c r="T153" i="197"/>
  <c r="X153" i="197"/>
  <c r="AB153" i="197"/>
  <c r="U153" i="197"/>
  <c r="Y153" i="197"/>
  <c r="AC153" i="197"/>
  <c r="V153" i="197"/>
  <c r="AD153" i="197"/>
  <c r="W153" i="197"/>
  <c r="AE153" i="197"/>
  <c r="T149" i="197"/>
  <c r="X149" i="197"/>
  <c r="AB149" i="197"/>
  <c r="U149" i="197"/>
  <c r="Y149" i="197"/>
  <c r="AC149" i="197"/>
  <c r="Z149" i="197"/>
  <c r="S149" i="197"/>
  <c r="AA149" i="197"/>
  <c r="T145" i="197"/>
  <c r="X145" i="197"/>
  <c r="AB145" i="197"/>
  <c r="U145" i="197"/>
  <c r="Y145" i="197"/>
  <c r="AC145" i="197"/>
  <c r="V145" i="197"/>
  <c r="AD145" i="197"/>
  <c r="W145" i="197"/>
  <c r="AE145" i="197"/>
  <c r="T141" i="197"/>
  <c r="X141" i="197"/>
  <c r="AB141" i="197"/>
  <c r="U141" i="197"/>
  <c r="Y141" i="197"/>
  <c r="AC141" i="197"/>
  <c r="Z141" i="197"/>
  <c r="R141" i="197"/>
  <c r="S141" i="197"/>
  <c r="AA141" i="197"/>
  <c r="T137" i="197"/>
  <c r="X137" i="197"/>
  <c r="AB137" i="197"/>
  <c r="U137" i="197"/>
  <c r="Y137" i="197"/>
  <c r="AC137" i="197"/>
  <c r="V137" i="197"/>
  <c r="AD137" i="197"/>
  <c r="R137" i="197"/>
  <c r="W137" i="197"/>
  <c r="AE137" i="197"/>
  <c r="T133" i="197"/>
  <c r="X133" i="197"/>
  <c r="AB133" i="197"/>
  <c r="U133" i="197"/>
  <c r="Y133" i="197"/>
  <c r="AC133" i="197"/>
  <c r="Z133" i="197"/>
  <c r="R133" i="197"/>
  <c r="S133" i="197"/>
  <c r="AA133" i="197"/>
  <c r="T129" i="197"/>
  <c r="X129" i="197"/>
  <c r="AB129" i="197"/>
  <c r="U129" i="197"/>
  <c r="Y129" i="197"/>
  <c r="AC129" i="197"/>
  <c r="V129" i="197"/>
  <c r="AD129" i="197"/>
  <c r="R129" i="197"/>
  <c r="W129" i="197"/>
  <c r="AE129" i="197"/>
  <c r="T125" i="197"/>
  <c r="X125" i="197"/>
  <c r="AB125" i="197"/>
  <c r="U125" i="197"/>
  <c r="Y125" i="197"/>
  <c r="AC125" i="197"/>
  <c r="Z125" i="197"/>
  <c r="R125" i="197"/>
  <c r="S125" i="197"/>
  <c r="AA125" i="197"/>
  <c r="T121" i="197"/>
  <c r="X121" i="197"/>
  <c r="AB121" i="197"/>
  <c r="U121" i="197"/>
  <c r="Y121" i="197"/>
  <c r="AC121" i="197"/>
  <c r="V121" i="197"/>
  <c r="AD121" i="197"/>
  <c r="R121" i="197"/>
  <c r="W121" i="197"/>
  <c r="AE121" i="197"/>
  <c r="T117" i="197"/>
  <c r="X117" i="197"/>
  <c r="AB117" i="197"/>
  <c r="U117" i="197"/>
  <c r="Y117" i="197"/>
  <c r="AC117" i="197"/>
  <c r="Z117" i="197"/>
  <c r="R117" i="197"/>
  <c r="S117" i="197"/>
  <c r="AA117" i="197"/>
  <c r="T113" i="197"/>
  <c r="X113" i="197"/>
  <c r="AB113" i="197"/>
  <c r="V113" i="197"/>
  <c r="AA113" i="197"/>
  <c r="W113" i="197"/>
  <c r="AC113" i="197"/>
  <c r="S113" i="197"/>
  <c r="AD113" i="197"/>
  <c r="R113" i="197"/>
  <c r="U113" i="197"/>
  <c r="AE113" i="197"/>
  <c r="T109" i="197"/>
  <c r="X109" i="197"/>
  <c r="AB109" i="197"/>
  <c r="U109" i="197"/>
  <c r="Z109" i="197"/>
  <c r="AE109" i="197"/>
  <c r="V109" i="197"/>
  <c r="AA109" i="197"/>
  <c r="AC109" i="197"/>
  <c r="R109" i="197"/>
  <c r="S109" i="197"/>
  <c r="AD109" i="197"/>
  <c r="T105" i="197"/>
  <c r="X105" i="197"/>
  <c r="AB105" i="197"/>
  <c r="U105" i="197"/>
  <c r="Y105" i="197"/>
  <c r="AC105" i="197"/>
  <c r="Z105" i="197"/>
  <c r="S105" i="197"/>
  <c r="AA105" i="197"/>
  <c r="V105" i="197"/>
  <c r="R105" i="197"/>
  <c r="W105" i="197"/>
  <c r="T101" i="197"/>
  <c r="X101" i="197"/>
  <c r="AB101" i="197"/>
  <c r="U101" i="197"/>
  <c r="Y101" i="197"/>
  <c r="AC101" i="197"/>
  <c r="V101" i="197"/>
  <c r="AD101" i="197"/>
  <c r="W101" i="197"/>
  <c r="AE101" i="197"/>
  <c r="Z101" i="197"/>
  <c r="R101" i="197"/>
  <c r="AA101" i="197"/>
  <c r="T97" i="197"/>
  <c r="X97" i="197"/>
  <c r="AB97" i="197"/>
  <c r="U97" i="197"/>
  <c r="Y97" i="197"/>
  <c r="AC97" i="197"/>
  <c r="Z97" i="197"/>
  <c r="S97" i="197"/>
  <c r="AA97" i="197"/>
  <c r="AD97" i="197"/>
  <c r="R97" i="197"/>
  <c r="AE97" i="197"/>
  <c r="T93" i="197"/>
  <c r="X93" i="197"/>
  <c r="AB93" i="197"/>
  <c r="U93" i="197"/>
  <c r="Y93" i="197"/>
  <c r="AC93" i="197"/>
  <c r="V93" i="197"/>
  <c r="AD93" i="197"/>
  <c r="W93" i="197"/>
  <c r="AE93" i="197"/>
  <c r="R93" i="197"/>
  <c r="S93" i="197"/>
  <c r="T89" i="197"/>
  <c r="X89" i="197"/>
  <c r="AB89" i="197"/>
  <c r="U89" i="197"/>
  <c r="Y89" i="197"/>
  <c r="AC89" i="197"/>
  <c r="Z89" i="197"/>
  <c r="S89" i="197"/>
  <c r="AA89" i="197"/>
  <c r="V89" i="197"/>
  <c r="R89" i="197"/>
  <c r="W89" i="197"/>
  <c r="T85" i="197"/>
  <c r="X85" i="197"/>
  <c r="AB85" i="197"/>
  <c r="U85" i="197"/>
  <c r="Y85" i="197"/>
  <c r="AC85" i="197"/>
  <c r="V85" i="197"/>
  <c r="AD85" i="197"/>
  <c r="W85" i="197"/>
  <c r="AE85" i="197"/>
  <c r="Z85" i="197"/>
  <c r="R85" i="197"/>
  <c r="AA85" i="197"/>
  <c r="S81" i="197"/>
  <c r="W81" i="197"/>
  <c r="AA81" i="197"/>
  <c r="V81" i="197"/>
  <c r="AB81" i="197"/>
  <c r="X81" i="197"/>
  <c r="AC81" i="197"/>
  <c r="Y81" i="197"/>
  <c r="Z81" i="197"/>
  <c r="AD81" i="197"/>
  <c r="R81" i="197"/>
  <c r="AE81" i="197"/>
  <c r="S77" i="197"/>
  <c r="W77" i="197"/>
  <c r="AA77" i="197"/>
  <c r="AE77" i="197"/>
  <c r="U77" i="197"/>
  <c r="Z77" i="197"/>
  <c r="V77" i="197"/>
  <c r="AB77" i="197"/>
  <c r="X77" i="197"/>
  <c r="Y77" i="197"/>
  <c r="R77" i="197"/>
  <c r="T77" i="197"/>
  <c r="S73" i="197"/>
  <c r="W73" i="197"/>
  <c r="AA73" i="197"/>
  <c r="AE73" i="197"/>
  <c r="T73" i="197"/>
  <c r="X73" i="197"/>
  <c r="AB73" i="197"/>
  <c r="Y73" i="197"/>
  <c r="Z73" i="197"/>
  <c r="U73" i="197"/>
  <c r="V73" i="197"/>
  <c r="R73" i="197"/>
  <c r="S69" i="197"/>
  <c r="W69" i="197"/>
  <c r="AA69" i="197"/>
  <c r="AE69" i="197"/>
  <c r="T69" i="197"/>
  <c r="X69" i="197"/>
  <c r="AB69" i="197"/>
  <c r="U69" i="197"/>
  <c r="AC69" i="197"/>
  <c r="V69" i="197"/>
  <c r="AD69" i="197"/>
  <c r="Y69" i="197"/>
  <c r="Z69" i="197"/>
  <c r="R69" i="197"/>
  <c r="S65" i="197"/>
  <c r="W65" i="197"/>
  <c r="AA65" i="197"/>
  <c r="AE65" i="197"/>
  <c r="T65" i="197"/>
  <c r="X65" i="197"/>
  <c r="AB65" i="197"/>
  <c r="Y65" i="197"/>
  <c r="Z65" i="197"/>
  <c r="AC65" i="197"/>
  <c r="AD65" i="197"/>
  <c r="U65" i="197"/>
  <c r="R65" i="197"/>
  <c r="V65" i="197"/>
  <c r="S61" i="197"/>
  <c r="W61" i="197"/>
  <c r="AA61" i="197"/>
  <c r="AE61" i="197"/>
  <c r="T61" i="197"/>
  <c r="X61" i="197"/>
  <c r="AB61" i="197"/>
  <c r="U61" i="197"/>
  <c r="AC61" i="197"/>
  <c r="V61" i="197"/>
  <c r="AD61" i="197"/>
  <c r="R61" i="197"/>
  <c r="S57" i="197"/>
  <c r="W57" i="197"/>
  <c r="AA57" i="197"/>
  <c r="AE57" i="197"/>
  <c r="T57" i="197"/>
  <c r="X57" i="197"/>
  <c r="AB57" i="197"/>
  <c r="Y57" i="197"/>
  <c r="Z57" i="197"/>
  <c r="U57" i="197"/>
  <c r="V57" i="197"/>
  <c r="AC57" i="197"/>
  <c r="R57" i="197"/>
  <c r="AD57" i="197"/>
  <c r="S53" i="197"/>
  <c r="W53" i="197"/>
  <c r="AA53" i="197"/>
  <c r="AE53" i="197"/>
  <c r="T53" i="197"/>
  <c r="X53" i="197"/>
  <c r="AB53" i="197"/>
  <c r="U53" i="197"/>
  <c r="AC53" i="197"/>
  <c r="V53" i="197"/>
  <c r="AD53" i="197"/>
  <c r="Y53" i="197"/>
  <c r="Z53" i="197"/>
  <c r="R53" i="197"/>
  <c r="S49" i="197"/>
  <c r="W49" i="197"/>
  <c r="AA49" i="197"/>
  <c r="AE49" i="197"/>
  <c r="T49" i="197"/>
  <c r="X49" i="197"/>
  <c r="AB49" i="197"/>
  <c r="Y49" i="197"/>
  <c r="Z49" i="197"/>
  <c r="AC49" i="197"/>
  <c r="AD49" i="197"/>
  <c r="R49" i="197"/>
  <c r="U45" i="197"/>
  <c r="W45" i="197"/>
  <c r="AA45" i="197"/>
  <c r="AE45" i="197"/>
  <c r="S45" i="197"/>
  <c r="X45" i="197"/>
  <c r="AB45" i="197"/>
  <c r="T45" i="197"/>
  <c r="AC45" i="197"/>
  <c r="V45" i="197"/>
  <c r="AD45" i="197"/>
  <c r="Y45" i="197"/>
  <c r="R45" i="197"/>
  <c r="Z45" i="197"/>
  <c r="U41" i="197"/>
  <c r="Y41" i="197"/>
  <c r="AC41" i="197"/>
  <c r="V41" i="197"/>
  <c r="Z41" i="197"/>
  <c r="S41" i="197"/>
  <c r="AA41" i="197"/>
  <c r="T41" i="197"/>
  <c r="AB41" i="197"/>
  <c r="AD41" i="197"/>
  <c r="AE41" i="197"/>
  <c r="W41" i="197"/>
  <c r="X41" i="197"/>
  <c r="R41" i="197"/>
  <c r="U37" i="197"/>
  <c r="Y37" i="197"/>
  <c r="AC37" i="197"/>
  <c r="V37" i="197"/>
  <c r="Z37" i="197"/>
  <c r="AD37" i="197"/>
  <c r="W37" i="197"/>
  <c r="AE37" i="197"/>
  <c r="X37" i="197"/>
  <c r="S37" i="197"/>
  <c r="T37" i="197"/>
  <c r="AA37" i="197"/>
  <c r="R37" i="197"/>
  <c r="AB37" i="197"/>
  <c r="U33" i="197"/>
  <c r="Y33" i="197"/>
  <c r="AC33" i="197"/>
  <c r="V33" i="197"/>
  <c r="Z33" i="197"/>
  <c r="AD33" i="197"/>
  <c r="S33" i="197"/>
  <c r="AA33" i="197"/>
  <c r="T33" i="197"/>
  <c r="AB33" i="197"/>
  <c r="W33" i="197"/>
  <c r="X33" i="197"/>
  <c r="AE33" i="197"/>
  <c r="R33" i="197"/>
  <c r="U29" i="197"/>
  <c r="Y29" i="197"/>
  <c r="AC29" i="197"/>
  <c r="V29" i="197"/>
  <c r="Z29" i="197"/>
  <c r="AD29" i="197"/>
  <c r="W29" i="197"/>
  <c r="AE29" i="197"/>
  <c r="X29" i="197"/>
  <c r="AA29" i="197"/>
  <c r="AB29" i="197"/>
  <c r="S29" i="197"/>
  <c r="T29" i="197"/>
  <c r="R29" i="197"/>
  <c r="U25" i="197"/>
  <c r="Y25" i="197"/>
  <c r="AC25" i="197"/>
  <c r="V25" i="197"/>
  <c r="Z25" i="197"/>
  <c r="AD25" i="197"/>
  <c r="W25" i="197"/>
  <c r="AE25" i="197"/>
  <c r="X25" i="197"/>
  <c r="AA25" i="197"/>
  <c r="AB25" i="197"/>
  <c r="S25" i="197"/>
  <c r="T25" i="197"/>
  <c r="R25" i="197"/>
  <c r="U21" i="197"/>
  <c r="Y21" i="197"/>
  <c r="AC21" i="197"/>
  <c r="V21" i="197"/>
  <c r="Z21" i="197"/>
  <c r="AD21" i="197"/>
  <c r="S21" i="197"/>
  <c r="AA21" i="197"/>
  <c r="T21" i="197"/>
  <c r="AB21" i="197"/>
  <c r="AE21" i="197"/>
  <c r="W21" i="197"/>
  <c r="X21" i="197"/>
  <c r="R21" i="197"/>
  <c r="U17" i="197"/>
  <c r="Y17" i="197"/>
  <c r="AC17" i="197"/>
  <c r="V17" i="197"/>
  <c r="Z17" i="197"/>
  <c r="AD17" i="197"/>
  <c r="W17" i="197"/>
  <c r="AE17" i="197"/>
  <c r="X17" i="197"/>
  <c r="S17" i="197"/>
  <c r="T17" i="197"/>
  <c r="AA17" i="197"/>
  <c r="R17" i="197"/>
  <c r="AB17" i="197"/>
  <c r="U13" i="197"/>
  <c r="Y13" i="197"/>
  <c r="AC13" i="197"/>
  <c r="V13" i="197"/>
  <c r="Z13" i="197"/>
  <c r="AD13" i="197"/>
  <c r="S13" i="197"/>
  <c r="AA13" i="197"/>
  <c r="T13" i="197"/>
  <c r="AB13" i="197"/>
  <c r="W13" i="197"/>
  <c r="X13" i="197"/>
  <c r="AE13" i="197"/>
  <c r="R13" i="197"/>
  <c r="U9" i="197"/>
  <c r="Y9" i="197"/>
  <c r="AC9" i="197"/>
  <c r="V9" i="197"/>
  <c r="Z9" i="197"/>
  <c r="AD9" i="197"/>
  <c r="W9" i="197"/>
  <c r="AE9" i="197"/>
  <c r="X9" i="197"/>
  <c r="AA9" i="197"/>
  <c r="AB9" i="197"/>
  <c r="S9" i="197"/>
  <c r="T9" i="197"/>
  <c r="R9" i="197"/>
  <c r="U5" i="197"/>
  <c r="Y5" i="197"/>
  <c r="AC5" i="197"/>
  <c r="V5" i="197"/>
  <c r="Z5" i="197"/>
  <c r="AD5" i="197"/>
  <c r="S5" i="197"/>
  <c r="AA5" i="197"/>
  <c r="T5" i="197"/>
  <c r="AB5" i="197"/>
  <c r="AE5" i="197"/>
  <c r="W5" i="197"/>
  <c r="X5" i="197"/>
  <c r="R5" i="197"/>
  <c r="R249" i="197"/>
  <c r="R245" i="197"/>
  <c r="R241" i="197"/>
  <c r="R237" i="197"/>
  <c r="R233" i="197"/>
  <c r="R229" i="197"/>
  <c r="R225" i="197"/>
  <c r="R221" i="197"/>
  <c r="R217" i="197"/>
  <c r="R213" i="197"/>
  <c r="R209" i="197"/>
  <c r="R205" i="197"/>
  <c r="R201" i="197"/>
  <c r="R197" i="197"/>
  <c r="R193" i="197"/>
  <c r="R189" i="197"/>
  <c r="R185" i="197"/>
  <c r="R181" i="197"/>
  <c r="R177" i="197"/>
  <c r="R173" i="197"/>
  <c r="R169" i="197"/>
  <c r="R165" i="197"/>
  <c r="R161" i="197"/>
  <c r="R157" i="197"/>
  <c r="R153" i="197"/>
  <c r="R149" i="197"/>
  <c r="R145" i="197"/>
  <c r="R130" i="197"/>
  <c r="R114" i="197"/>
  <c r="R98" i="197"/>
  <c r="R82" i="197"/>
  <c r="R66" i="197"/>
  <c r="R50" i="197"/>
  <c r="R34" i="197"/>
  <c r="R18" i="197"/>
  <c r="AA249" i="197"/>
  <c r="U249" i="197"/>
  <c r="AB246" i="197"/>
  <c r="W246" i="197"/>
  <c r="AE245" i="197"/>
  <c r="Y245" i="197"/>
  <c r="T245" i="197"/>
  <c r="AA242" i="197"/>
  <c r="V242" i="197"/>
  <c r="AC241" i="197"/>
  <c r="X241" i="197"/>
  <c r="S241" i="197"/>
  <c r="AE238" i="197"/>
  <c r="Z238" i="197"/>
  <c r="T238" i="197"/>
  <c r="AB237" i="197"/>
  <c r="W237" i="197"/>
  <c r="AD234" i="197"/>
  <c r="W234" i="197"/>
  <c r="AB233" i="197"/>
  <c r="T233" i="197"/>
  <c r="AA230" i="197"/>
  <c r="S230" i="197"/>
  <c r="X229" i="197"/>
  <c r="AE226" i="197"/>
  <c r="W226" i="197"/>
  <c r="AB225" i="197"/>
  <c r="T225" i="197"/>
  <c r="AA222" i="197"/>
  <c r="S222" i="197"/>
  <c r="X221" i="197"/>
  <c r="AE218" i="197"/>
  <c r="W218" i="197"/>
  <c r="AB217" i="197"/>
  <c r="T217" i="197"/>
  <c r="AA214" i="197"/>
  <c r="S214" i="197"/>
  <c r="X213" i="197"/>
  <c r="AE210" i="197"/>
  <c r="W210" i="197"/>
  <c r="AB209" i="197"/>
  <c r="T209" i="197"/>
  <c r="AA206" i="197"/>
  <c r="S206" i="197"/>
  <c r="X205" i="197"/>
  <c r="AE202" i="197"/>
  <c r="W202" i="197"/>
  <c r="AB201" i="197"/>
  <c r="T201" i="197"/>
  <c r="AA198" i="197"/>
  <c r="S198" i="197"/>
  <c r="X197" i="197"/>
  <c r="AE194" i="197"/>
  <c r="W194" i="197"/>
  <c r="AB193" i="197"/>
  <c r="T193" i="197"/>
  <c r="AA190" i="197"/>
  <c r="S190" i="197"/>
  <c r="X189" i="197"/>
  <c r="AB186" i="197"/>
  <c r="AD185" i="197"/>
  <c r="S185" i="197"/>
  <c r="Z182" i="197"/>
  <c r="AC181" i="197"/>
  <c r="Y178" i="197"/>
  <c r="AA177" i="197"/>
  <c r="X174" i="197"/>
  <c r="Z173" i="197"/>
  <c r="V170" i="197"/>
  <c r="Y169" i="197"/>
  <c r="U166" i="197"/>
  <c r="V165" i="197"/>
  <c r="AC162" i="197"/>
  <c r="Z161" i="197"/>
  <c r="AD157" i="197"/>
  <c r="U154" i="197"/>
  <c r="Y150" i="197"/>
  <c r="V149" i="197"/>
  <c r="AC146" i="197"/>
  <c r="Z145" i="197"/>
  <c r="AD141" i="197"/>
  <c r="U138" i="197"/>
  <c r="Y134" i="197"/>
  <c r="V133" i="197"/>
  <c r="AC130" i="197"/>
  <c r="Z129" i="197"/>
  <c r="AD125" i="197"/>
  <c r="U122" i="197"/>
  <c r="Y118" i="197"/>
  <c r="V117" i="197"/>
  <c r="V114" i="197"/>
  <c r="W109" i="197"/>
  <c r="AD105" i="197"/>
  <c r="Y98" i="197"/>
  <c r="Z93" i="197"/>
  <c r="U86" i="197"/>
  <c r="T81" i="197"/>
  <c r="AC77" i="197"/>
  <c r="AC73" i="197"/>
  <c r="T54" i="197"/>
  <c r="U49" i="197"/>
  <c r="T247" i="197"/>
  <c r="X247" i="197"/>
  <c r="AB247" i="197"/>
  <c r="T243" i="197"/>
  <c r="X243" i="197"/>
  <c r="AB243" i="197"/>
  <c r="T239" i="197"/>
  <c r="X239" i="197"/>
  <c r="AB239" i="197"/>
  <c r="T235" i="197"/>
  <c r="X235" i="197"/>
  <c r="AB235" i="197"/>
  <c r="T231" i="197"/>
  <c r="X231" i="197"/>
  <c r="AB231" i="197"/>
  <c r="U231" i="197"/>
  <c r="Y231" i="197"/>
  <c r="AC231" i="197"/>
  <c r="T227" i="197"/>
  <c r="X227" i="197"/>
  <c r="AB227" i="197"/>
  <c r="U227" i="197"/>
  <c r="Y227" i="197"/>
  <c r="AC227" i="197"/>
  <c r="T223" i="197"/>
  <c r="X223" i="197"/>
  <c r="AB223" i="197"/>
  <c r="U223" i="197"/>
  <c r="Y223" i="197"/>
  <c r="AC223" i="197"/>
  <c r="T219" i="197"/>
  <c r="X219" i="197"/>
  <c r="AB219" i="197"/>
  <c r="U219" i="197"/>
  <c r="Y219" i="197"/>
  <c r="AC219" i="197"/>
  <c r="T215" i="197"/>
  <c r="X215" i="197"/>
  <c r="AB215" i="197"/>
  <c r="U215" i="197"/>
  <c r="Y215" i="197"/>
  <c r="AC215" i="197"/>
  <c r="T211" i="197"/>
  <c r="X211" i="197"/>
  <c r="AB211" i="197"/>
  <c r="U211" i="197"/>
  <c r="Y211" i="197"/>
  <c r="AC211" i="197"/>
  <c r="T207" i="197"/>
  <c r="X207" i="197"/>
  <c r="AB207" i="197"/>
  <c r="U207" i="197"/>
  <c r="Y207" i="197"/>
  <c r="AC207" i="197"/>
  <c r="T203" i="197"/>
  <c r="X203" i="197"/>
  <c r="AB203" i="197"/>
  <c r="U203" i="197"/>
  <c r="Y203" i="197"/>
  <c r="AC203" i="197"/>
  <c r="T199" i="197"/>
  <c r="X199" i="197"/>
  <c r="AB199" i="197"/>
  <c r="U199" i="197"/>
  <c r="Y199" i="197"/>
  <c r="AC199" i="197"/>
  <c r="T195" i="197"/>
  <c r="X195" i="197"/>
  <c r="AB195" i="197"/>
  <c r="U195" i="197"/>
  <c r="Y195" i="197"/>
  <c r="AC195" i="197"/>
  <c r="T191" i="197"/>
  <c r="X191" i="197"/>
  <c r="AB191" i="197"/>
  <c r="U191" i="197"/>
  <c r="Y191" i="197"/>
  <c r="AC191" i="197"/>
  <c r="V187" i="197"/>
  <c r="Z187" i="197"/>
  <c r="W187" i="197"/>
  <c r="AB187" i="197"/>
  <c r="S187" i="197"/>
  <c r="X187" i="197"/>
  <c r="AC187" i="197"/>
  <c r="V183" i="197"/>
  <c r="Z183" i="197"/>
  <c r="AD183" i="197"/>
  <c r="U183" i="197"/>
  <c r="AA183" i="197"/>
  <c r="W183" i="197"/>
  <c r="AB183" i="197"/>
  <c r="V179" i="197"/>
  <c r="Z179" i="197"/>
  <c r="AD179" i="197"/>
  <c r="T179" i="197"/>
  <c r="Y179" i="197"/>
  <c r="AE179" i="197"/>
  <c r="U179" i="197"/>
  <c r="AA179" i="197"/>
  <c r="V175" i="197"/>
  <c r="Z175" i="197"/>
  <c r="AD175" i="197"/>
  <c r="S175" i="197"/>
  <c r="X175" i="197"/>
  <c r="AC175" i="197"/>
  <c r="T175" i="197"/>
  <c r="Y175" i="197"/>
  <c r="AE175" i="197"/>
  <c r="V171" i="197"/>
  <c r="Z171" i="197"/>
  <c r="AD171" i="197"/>
  <c r="W171" i="197"/>
  <c r="AB171" i="197"/>
  <c r="S171" i="197"/>
  <c r="X171" i="197"/>
  <c r="AC171" i="197"/>
  <c r="V167" i="197"/>
  <c r="Z167" i="197"/>
  <c r="AD167" i="197"/>
  <c r="U167" i="197"/>
  <c r="AA167" i="197"/>
  <c r="W167" i="197"/>
  <c r="AB167" i="197"/>
  <c r="V163" i="197"/>
  <c r="Z163" i="197"/>
  <c r="AD163" i="197"/>
  <c r="S163" i="197"/>
  <c r="W163" i="197"/>
  <c r="AA163" i="197"/>
  <c r="AE163" i="197"/>
  <c r="T163" i="197"/>
  <c r="AB163" i="197"/>
  <c r="U163" i="197"/>
  <c r="AC163" i="197"/>
  <c r="V159" i="197"/>
  <c r="Z159" i="197"/>
  <c r="AD159" i="197"/>
  <c r="S159" i="197"/>
  <c r="W159" i="197"/>
  <c r="AA159" i="197"/>
  <c r="AE159" i="197"/>
  <c r="X159" i="197"/>
  <c r="Y159" i="197"/>
  <c r="V155" i="197"/>
  <c r="Z155" i="197"/>
  <c r="AD155" i="197"/>
  <c r="S155" i="197"/>
  <c r="W155" i="197"/>
  <c r="AA155" i="197"/>
  <c r="AE155" i="197"/>
  <c r="T155" i="197"/>
  <c r="AB155" i="197"/>
  <c r="U155" i="197"/>
  <c r="AC155" i="197"/>
  <c r="V151" i="197"/>
  <c r="Z151" i="197"/>
  <c r="AD151" i="197"/>
  <c r="S151" i="197"/>
  <c r="W151" i="197"/>
  <c r="AA151" i="197"/>
  <c r="AE151" i="197"/>
  <c r="X151" i="197"/>
  <c r="Y151" i="197"/>
  <c r="V147" i="197"/>
  <c r="Z147" i="197"/>
  <c r="AD147" i="197"/>
  <c r="S147" i="197"/>
  <c r="W147" i="197"/>
  <c r="AA147" i="197"/>
  <c r="AE147" i="197"/>
  <c r="T147" i="197"/>
  <c r="AB147" i="197"/>
  <c r="U147" i="197"/>
  <c r="AC147" i="197"/>
  <c r="V143" i="197"/>
  <c r="Z143" i="197"/>
  <c r="AD143" i="197"/>
  <c r="S143" i="197"/>
  <c r="W143" i="197"/>
  <c r="AA143" i="197"/>
  <c r="AE143" i="197"/>
  <c r="X143" i="197"/>
  <c r="Y143" i="197"/>
  <c r="V139" i="197"/>
  <c r="Z139" i="197"/>
  <c r="AD139" i="197"/>
  <c r="S139" i="197"/>
  <c r="W139" i="197"/>
  <c r="AA139" i="197"/>
  <c r="AE139" i="197"/>
  <c r="T139" i="197"/>
  <c r="AB139" i="197"/>
  <c r="U139" i="197"/>
  <c r="AC139" i="197"/>
  <c r="V135" i="197"/>
  <c r="Z135" i="197"/>
  <c r="AD135" i="197"/>
  <c r="S135" i="197"/>
  <c r="W135" i="197"/>
  <c r="AA135" i="197"/>
  <c r="AE135" i="197"/>
  <c r="X135" i="197"/>
  <c r="Y135" i="197"/>
  <c r="V131" i="197"/>
  <c r="Z131" i="197"/>
  <c r="AD131" i="197"/>
  <c r="S131" i="197"/>
  <c r="W131" i="197"/>
  <c r="AA131" i="197"/>
  <c r="AE131" i="197"/>
  <c r="T131" i="197"/>
  <c r="AB131" i="197"/>
  <c r="U131" i="197"/>
  <c r="AC131" i="197"/>
  <c r="V127" i="197"/>
  <c r="Z127" i="197"/>
  <c r="AD127" i="197"/>
  <c r="S127" i="197"/>
  <c r="W127" i="197"/>
  <c r="AA127" i="197"/>
  <c r="AE127" i="197"/>
  <c r="X127" i="197"/>
  <c r="Y127" i="197"/>
  <c r="V123" i="197"/>
  <c r="Z123" i="197"/>
  <c r="AD123" i="197"/>
  <c r="S123" i="197"/>
  <c r="W123" i="197"/>
  <c r="AA123" i="197"/>
  <c r="AE123" i="197"/>
  <c r="T123" i="197"/>
  <c r="AB123" i="197"/>
  <c r="U123" i="197"/>
  <c r="AC123" i="197"/>
  <c r="V119" i="197"/>
  <c r="Z119" i="197"/>
  <c r="AD119" i="197"/>
  <c r="S119" i="197"/>
  <c r="W119" i="197"/>
  <c r="AA119" i="197"/>
  <c r="AE119" i="197"/>
  <c r="X119" i="197"/>
  <c r="Y119" i="197"/>
  <c r="V115" i="197"/>
  <c r="Z115" i="197"/>
  <c r="AD115" i="197"/>
  <c r="W115" i="197"/>
  <c r="AB115" i="197"/>
  <c r="S115" i="197"/>
  <c r="X115" i="197"/>
  <c r="AC115" i="197"/>
  <c r="Y115" i="197"/>
  <c r="AA115" i="197"/>
  <c r="V111" i="197"/>
  <c r="Z111" i="197"/>
  <c r="AD111" i="197"/>
  <c r="U111" i="197"/>
  <c r="AA111" i="197"/>
  <c r="W111" i="197"/>
  <c r="AB111" i="197"/>
  <c r="X111" i="197"/>
  <c r="Y111" i="197"/>
  <c r="V107" i="197"/>
  <c r="Z107" i="197"/>
  <c r="AD107" i="197"/>
  <c r="T107" i="197"/>
  <c r="Y107" i="197"/>
  <c r="AE107" i="197"/>
  <c r="U107" i="197"/>
  <c r="AA107" i="197"/>
  <c r="W107" i="197"/>
  <c r="X107" i="197"/>
  <c r="V103" i="197"/>
  <c r="Z103" i="197"/>
  <c r="AD103" i="197"/>
  <c r="S103" i="197"/>
  <c r="W103" i="197"/>
  <c r="AA103" i="197"/>
  <c r="AE103" i="197"/>
  <c r="T103" i="197"/>
  <c r="AB103" i="197"/>
  <c r="U103" i="197"/>
  <c r="AC103" i="197"/>
  <c r="V99" i="197"/>
  <c r="Z99" i="197"/>
  <c r="AD99" i="197"/>
  <c r="S99" i="197"/>
  <c r="W99" i="197"/>
  <c r="AA99" i="197"/>
  <c r="AE99" i="197"/>
  <c r="X99" i="197"/>
  <c r="Y99" i="197"/>
  <c r="T99" i="197"/>
  <c r="U99" i="197"/>
  <c r="V95" i="197"/>
  <c r="Z95" i="197"/>
  <c r="AD95" i="197"/>
  <c r="S95" i="197"/>
  <c r="W95" i="197"/>
  <c r="AA95" i="197"/>
  <c r="AE95" i="197"/>
  <c r="T95" i="197"/>
  <c r="AB95" i="197"/>
  <c r="U95" i="197"/>
  <c r="AC95" i="197"/>
  <c r="X95" i="197"/>
  <c r="Y95" i="197"/>
  <c r="V91" i="197"/>
  <c r="Z91" i="197"/>
  <c r="AD91" i="197"/>
  <c r="S91" i="197"/>
  <c r="W91" i="197"/>
  <c r="AA91" i="197"/>
  <c r="AE91" i="197"/>
  <c r="X91" i="197"/>
  <c r="Y91" i="197"/>
  <c r="AB91" i="197"/>
  <c r="AC91" i="197"/>
  <c r="V87" i="197"/>
  <c r="Z87" i="197"/>
  <c r="AD87" i="197"/>
  <c r="S87" i="197"/>
  <c r="W87" i="197"/>
  <c r="AA87" i="197"/>
  <c r="AE87" i="197"/>
  <c r="T87" i="197"/>
  <c r="AB87" i="197"/>
  <c r="U87" i="197"/>
  <c r="AC87" i="197"/>
  <c r="V83" i="197"/>
  <c r="Z83" i="197"/>
  <c r="AD83" i="197"/>
  <c r="S83" i="197"/>
  <c r="W83" i="197"/>
  <c r="AA83" i="197"/>
  <c r="AE83" i="197"/>
  <c r="X83" i="197"/>
  <c r="Y83" i="197"/>
  <c r="T83" i="197"/>
  <c r="U83" i="197"/>
  <c r="U79" i="197"/>
  <c r="Y79" i="197"/>
  <c r="AC79" i="197"/>
  <c r="V79" i="197"/>
  <c r="AA79" i="197"/>
  <c r="W79" i="197"/>
  <c r="AB79" i="197"/>
  <c r="S79" i="197"/>
  <c r="AD79" i="197"/>
  <c r="T79" i="197"/>
  <c r="AE79" i="197"/>
  <c r="U75" i="197"/>
  <c r="Y75" i="197"/>
  <c r="AC75" i="197"/>
  <c r="V75" i="197"/>
  <c r="Z75" i="197"/>
  <c r="AD75" i="197"/>
  <c r="W75" i="197"/>
  <c r="AE75" i="197"/>
  <c r="X75" i="197"/>
  <c r="AA75" i="197"/>
  <c r="AB75" i="197"/>
  <c r="S75" i="197"/>
  <c r="T75" i="197"/>
  <c r="U71" i="197"/>
  <c r="Y71" i="197"/>
  <c r="AC71" i="197"/>
  <c r="V71" i="197"/>
  <c r="Z71" i="197"/>
  <c r="AD71" i="197"/>
  <c r="S71" i="197"/>
  <c r="AA71" i="197"/>
  <c r="T71" i="197"/>
  <c r="AB71" i="197"/>
  <c r="AE71" i="197"/>
  <c r="U67" i="197"/>
  <c r="Y67" i="197"/>
  <c r="AC67" i="197"/>
  <c r="V67" i="197"/>
  <c r="Z67" i="197"/>
  <c r="AD67" i="197"/>
  <c r="W67" i="197"/>
  <c r="AE67" i="197"/>
  <c r="X67" i="197"/>
  <c r="S67" i="197"/>
  <c r="T67" i="197"/>
  <c r="AA67" i="197"/>
  <c r="AB67" i="197"/>
  <c r="U63" i="197"/>
  <c r="Y63" i="197"/>
  <c r="AC63" i="197"/>
  <c r="V63" i="197"/>
  <c r="Z63" i="197"/>
  <c r="AD63" i="197"/>
  <c r="S63" i="197"/>
  <c r="AA63" i="197"/>
  <c r="T63" i="197"/>
  <c r="AB63" i="197"/>
  <c r="W63" i="197"/>
  <c r="X63" i="197"/>
  <c r="U59" i="197"/>
  <c r="Y59" i="197"/>
  <c r="AC59" i="197"/>
  <c r="V59" i="197"/>
  <c r="Z59" i="197"/>
  <c r="AD59" i="197"/>
  <c r="W59" i="197"/>
  <c r="AE59" i="197"/>
  <c r="X59" i="197"/>
  <c r="AA59" i="197"/>
  <c r="AB59" i="197"/>
  <c r="U55" i="197"/>
  <c r="Y55" i="197"/>
  <c r="AC55" i="197"/>
  <c r="V55" i="197"/>
  <c r="Z55" i="197"/>
  <c r="AD55" i="197"/>
  <c r="S55" i="197"/>
  <c r="AA55" i="197"/>
  <c r="T55" i="197"/>
  <c r="AB55" i="197"/>
  <c r="AE55" i="197"/>
  <c r="W55" i="197"/>
  <c r="X55" i="197"/>
  <c r="U51" i="197"/>
  <c r="Y51" i="197"/>
  <c r="AC51" i="197"/>
  <c r="V51" i="197"/>
  <c r="Z51" i="197"/>
  <c r="AD51" i="197"/>
  <c r="W51" i="197"/>
  <c r="AE51" i="197"/>
  <c r="X51" i="197"/>
  <c r="S51" i="197"/>
  <c r="T51" i="197"/>
  <c r="U47" i="197"/>
  <c r="Y47" i="197"/>
  <c r="AC47" i="197"/>
  <c r="V47" i="197"/>
  <c r="Z47" i="197"/>
  <c r="AD47" i="197"/>
  <c r="S47" i="197"/>
  <c r="AA47" i="197"/>
  <c r="T47" i="197"/>
  <c r="AB47" i="197"/>
  <c r="W47" i="197"/>
  <c r="X47" i="197"/>
  <c r="AE47" i="197"/>
  <c r="S43" i="197"/>
  <c r="W43" i="197"/>
  <c r="AA43" i="197"/>
  <c r="AE43" i="197"/>
  <c r="V43" i="197"/>
  <c r="AB43" i="197"/>
  <c r="X43" i="197"/>
  <c r="AC43" i="197"/>
  <c r="Y43" i="197"/>
  <c r="Z43" i="197"/>
  <c r="T43" i="197"/>
  <c r="U43" i="197"/>
  <c r="S39" i="197"/>
  <c r="W39" i="197"/>
  <c r="AA39" i="197"/>
  <c r="AE39" i="197"/>
  <c r="T39" i="197"/>
  <c r="X39" i="197"/>
  <c r="AB39" i="197"/>
  <c r="U39" i="197"/>
  <c r="AC39" i="197"/>
  <c r="V39" i="197"/>
  <c r="AD39" i="197"/>
  <c r="Y39" i="197"/>
  <c r="Z39" i="197"/>
  <c r="S35" i="197"/>
  <c r="W35" i="197"/>
  <c r="AA35" i="197"/>
  <c r="AE35" i="197"/>
  <c r="T35" i="197"/>
  <c r="X35" i="197"/>
  <c r="AB35" i="197"/>
  <c r="Y35" i="197"/>
  <c r="Z35" i="197"/>
  <c r="AC35" i="197"/>
  <c r="AD35" i="197"/>
  <c r="S31" i="197"/>
  <c r="W31" i="197"/>
  <c r="AA31" i="197"/>
  <c r="AE31" i="197"/>
  <c r="T31" i="197"/>
  <c r="X31" i="197"/>
  <c r="AB31" i="197"/>
  <c r="U31" i="197"/>
  <c r="AC31" i="197"/>
  <c r="V31" i="197"/>
  <c r="AD31" i="197"/>
  <c r="Y31" i="197"/>
  <c r="Z31" i="197"/>
  <c r="S27" i="197"/>
  <c r="W27" i="197"/>
  <c r="AA27" i="197"/>
  <c r="AE27" i="197"/>
  <c r="T27" i="197"/>
  <c r="U27" i="197"/>
  <c r="Z27" i="197"/>
  <c r="V27" i="197"/>
  <c r="AB27" i="197"/>
  <c r="AC27" i="197"/>
  <c r="AD27" i="197"/>
  <c r="X27" i="197"/>
  <c r="Y27" i="197"/>
  <c r="S23" i="197"/>
  <c r="W23" i="197"/>
  <c r="AA23" i="197"/>
  <c r="AE23" i="197"/>
  <c r="T23" i="197"/>
  <c r="X23" i="197"/>
  <c r="AB23" i="197"/>
  <c r="Y23" i="197"/>
  <c r="Z23" i="197"/>
  <c r="U23" i="197"/>
  <c r="V23" i="197"/>
  <c r="AC23" i="197"/>
  <c r="AD23" i="197"/>
  <c r="S19" i="197"/>
  <c r="W19" i="197"/>
  <c r="AA19" i="197"/>
  <c r="AE19" i="197"/>
  <c r="T19" i="197"/>
  <c r="X19" i="197"/>
  <c r="AB19" i="197"/>
  <c r="U19" i="197"/>
  <c r="AC19" i="197"/>
  <c r="V19" i="197"/>
  <c r="AD19" i="197"/>
  <c r="Y19" i="197"/>
  <c r="Z19" i="197"/>
  <c r="S15" i="197"/>
  <c r="W15" i="197"/>
  <c r="AA15" i="197"/>
  <c r="AE15" i="197"/>
  <c r="T15" i="197"/>
  <c r="X15" i="197"/>
  <c r="AB15" i="197"/>
  <c r="Y15" i="197"/>
  <c r="Z15" i="197"/>
  <c r="AC15" i="197"/>
  <c r="AD15" i="197"/>
  <c r="U15" i="197"/>
  <c r="V15" i="197"/>
  <c r="S11" i="197"/>
  <c r="W11" i="197"/>
  <c r="AA11" i="197"/>
  <c r="AE11" i="197"/>
  <c r="T11" i="197"/>
  <c r="X11" i="197"/>
  <c r="AB11" i="197"/>
  <c r="U11" i="197"/>
  <c r="AC11" i="197"/>
  <c r="V11" i="197"/>
  <c r="AD11" i="197"/>
  <c r="Y11" i="197"/>
  <c r="Z11" i="197"/>
  <c r="S7" i="197"/>
  <c r="W7" i="197"/>
  <c r="AA7" i="197"/>
  <c r="AE7" i="197"/>
  <c r="T7" i="197"/>
  <c r="X7" i="197"/>
  <c r="AB7" i="197"/>
  <c r="Y7" i="197"/>
  <c r="Z7" i="197"/>
  <c r="U7" i="197"/>
  <c r="V7" i="197"/>
  <c r="AC7" i="197"/>
  <c r="AD7" i="197"/>
  <c r="R3" i="197"/>
  <c r="R247" i="197"/>
  <c r="R243" i="197"/>
  <c r="R239" i="197"/>
  <c r="R235" i="197"/>
  <c r="R231" i="197"/>
  <c r="R227" i="197"/>
  <c r="R223" i="197"/>
  <c r="R219" i="197"/>
  <c r="R215" i="197"/>
  <c r="R211" i="197"/>
  <c r="R207" i="197"/>
  <c r="R203" i="197"/>
  <c r="R199" i="197"/>
  <c r="R195" i="197"/>
  <c r="R191" i="197"/>
  <c r="R187" i="197"/>
  <c r="R183" i="197"/>
  <c r="R179" i="197"/>
  <c r="R175" i="197"/>
  <c r="R171" i="197"/>
  <c r="R167" i="197"/>
  <c r="R163" i="197"/>
  <c r="R159" i="197"/>
  <c r="R155" i="197"/>
  <c r="R151" i="197"/>
  <c r="R147" i="197"/>
  <c r="R143" i="197"/>
  <c r="R138" i="197"/>
  <c r="R132" i="197"/>
  <c r="R127" i="197"/>
  <c r="R122" i="197"/>
  <c r="R116" i="197"/>
  <c r="R111" i="197"/>
  <c r="R106" i="197"/>
  <c r="R100" i="197"/>
  <c r="R95" i="197"/>
  <c r="R90" i="197"/>
  <c r="R84" i="197"/>
  <c r="R79" i="197"/>
  <c r="R74" i="197"/>
  <c r="R68" i="197"/>
  <c r="R63" i="197"/>
  <c r="R58" i="197"/>
  <c r="R52" i="197"/>
  <c r="R47" i="197"/>
  <c r="R42" i="197"/>
  <c r="R36" i="197"/>
  <c r="R31" i="197"/>
  <c r="R26" i="197"/>
  <c r="R20" i="197"/>
  <c r="R15" i="197"/>
  <c r="R10" i="197"/>
  <c r="R4" i="197"/>
  <c r="AC249" i="197"/>
  <c r="X249" i="197"/>
  <c r="S249" i="197"/>
  <c r="Z248" i="197"/>
  <c r="U248" i="197"/>
  <c r="AC247" i="197"/>
  <c r="W247" i="197"/>
  <c r="AE246" i="197"/>
  <c r="Z246" i="197"/>
  <c r="T246" i="197"/>
  <c r="AB245" i="197"/>
  <c r="W245" i="197"/>
  <c r="AD244" i="197"/>
  <c r="Y244" i="197"/>
  <c r="T244" i="197"/>
  <c r="AA243" i="197"/>
  <c r="V243" i="197"/>
  <c r="AD242" i="197"/>
  <c r="X242" i="197"/>
  <c r="S242" i="197"/>
  <c r="AA241" i="197"/>
  <c r="U241" i="197"/>
  <c r="AC240" i="197"/>
  <c r="X240" i="197"/>
  <c r="AE239" i="197"/>
  <c r="Z239" i="197"/>
  <c r="U239" i="197"/>
  <c r="AB238" i="197"/>
  <c r="W238" i="197"/>
  <c r="AE237" i="197"/>
  <c r="Y237" i="197"/>
  <c r="T237" i="197"/>
  <c r="AB236" i="197"/>
  <c r="V236" i="197"/>
  <c r="AD235" i="197"/>
  <c r="Y235" i="197"/>
  <c r="S235" i="197"/>
  <c r="AA234" i="197"/>
  <c r="S234" i="197"/>
  <c r="X233" i="197"/>
  <c r="AC232" i="197"/>
  <c r="U232" i="197"/>
  <c r="Z231" i="197"/>
  <c r="AE230" i="197"/>
  <c r="W230" i="197"/>
  <c r="AB229" i="197"/>
  <c r="T229" i="197"/>
  <c r="Y228" i="197"/>
  <c r="AD227" i="197"/>
  <c r="V227" i="197"/>
  <c r="AA226" i="197"/>
  <c r="S226" i="197"/>
  <c r="X225" i="197"/>
  <c r="AC224" i="197"/>
  <c r="U224" i="197"/>
  <c r="Z223" i="197"/>
  <c r="AE222" i="197"/>
  <c r="W222" i="197"/>
  <c r="AB221" i="197"/>
  <c r="T221" i="197"/>
  <c r="Y220" i="197"/>
  <c r="AD219" i="197"/>
  <c r="V219" i="197"/>
  <c r="AA218" i="197"/>
  <c r="S218" i="197"/>
  <c r="X217" i="197"/>
  <c r="AC216" i="197"/>
  <c r="U216" i="197"/>
  <c r="Z215" i="197"/>
  <c r="AE214" i="197"/>
  <c r="W214" i="197"/>
  <c r="AB213" i="197"/>
  <c r="T213" i="197"/>
  <c r="Y212" i="197"/>
  <c r="AD211" i="197"/>
  <c r="V211" i="197"/>
  <c r="AA210" i="197"/>
  <c r="S210" i="197"/>
  <c r="X209" i="197"/>
  <c r="AC208" i="197"/>
  <c r="U208" i="197"/>
  <c r="Z207" i="197"/>
  <c r="AE206" i="197"/>
  <c r="W206" i="197"/>
  <c r="AB205" i="197"/>
  <c r="T205" i="197"/>
  <c r="Y204" i="197"/>
  <c r="AD203" i="197"/>
  <c r="V203" i="197"/>
  <c r="AA202" i="197"/>
  <c r="S202" i="197"/>
  <c r="X201" i="197"/>
  <c r="AC200" i="197"/>
  <c r="U200" i="197"/>
  <c r="Z199" i="197"/>
  <c r="AE198" i="197"/>
  <c r="W198" i="197"/>
  <c r="AB197" i="197"/>
  <c r="T197" i="197"/>
  <c r="Y196" i="197"/>
  <c r="AD195" i="197"/>
  <c r="V195" i="197"/>
  <c r="AA194" i="197"/>
  <c r="S194" i="197"/>
  <c r="X193" i="197"/>
  <c r="AC192" i="197"/>
  <c r="U192" i="197"/>
  <c r="Z191" i="197"/>
  <c r="AE190" i="197"/>
  <c r="W190" i="197"/>
  <c r="AB189" i="197"/>
  <c r="T189" i="197"/>
  <c r="Y188" i="197"/>
  <c r="AD187" i="197"/>
  <c r="T187" i="197"/>
  <c r="V186" i="197"/>
  <c r="Y185" i="197"/>
  <c r="AA184" i="197"/>
  <c r="AC183" i="197"/>
  <c r="S183" i="197"/>
  <c r="U182" i="197"/>
  <c r="W181" i="197"/>
  <c r="Z180" i="197"/>
  <c r="AB179" i="197"/>
  <c r="AD178" i="197"/>
  <c r="T178" i="197"/>
  <c r="V177" i="197"/>
  <c r="X176" i="197"/>
  <c r="AA175" i="197"/>
  <c r="AC174" i="197"/>
  <c r="AE173" i="197"/>
  <c r="U173" i="197"/>
  <c r="W172" i="197"/>
  <c r="Y171" i="197"/>
  <c r="AB170" i="197"/>
  <c r="AD169" i="197"/>
  <c r="S169" i="197"/>
  <c r="V168" i="197"/>
  <c r="X167" i="197"/>
  <c r="Z166" i="197"/>
  <c r="AC165" i="197"/>
  <c r="AA164" i="197"/>
  <c r="X163" i="197"/>
  <c r="U162" i="197"/>
  <c r="AE160" i="197"/>
  <c r="AB159" i="197"/>
  <c r="Y158" i="197"/>
  <c r="V157" i="197"/>
  <c r="S156" i="197"/>
  <c r="AC154" i="197"/>
  <c r="Z153" i="197"/>
  <c r="W152" i="197"/>
  <c r="T151" i="197"/>
  <c r="AD149" i="197"/>
  <c r="AA148" i="197"/>
  <c r="X147" i="197"/>
  <c r="U146" i="197"/>
  <c r="AE144" i="197"/>
  <c r="AB143" i="197"/>
  <c r="Y142" i="197"/>
  <c r="V141" i="197"/>
  <c r="S140" i="197"/>
  <c r="AC138" i="197"/>
  <c r="Z137" i="197"/>
  <c r="W136" i="197"/>
  <c r="T135" i="197"/>
  <c r="AD133" i="197"/>
  <c r="AA132" i="197"/>
  <c r="X131" i="197"/>
  <c r="U130" i="197"/>
  <c r="AE128" i="197"/>
  <c r="AB127" i="197"/>
  <c r="Y126" i="197"/>
  <c r="V125" i="197"/>
  <c r="S124" i="197"/>
  <c r="AC122" i="197"/>
  <c r="Z121" i="197"/>
  <c r="W120" i="197"/>
  <c r="T119" i="197"/>
  <c r="AD117" i="197"/>
  <c r="AA116" i="197"/>
  <c r="T115" i="197"/>
  <c r="Y113" i="197"/>
  <c r="AC111" i="197"/>
  <c r="U110" i="197"/>
  <c r="Z108" i="197"/>
  <c r="AD106" i="197"/>
  <c r="AA104" i="197"/>
  <c r="U102" i="197"/>
  <c r="AB99" i="197"/>
  <c r="V97" i="197"/>
  <c r="AC94" i="197"/>
  <c r="W92" i="197"/>
  <c r="AD89" i="197"/>
  <c r="X87" i="197"/>
  <c r="AE84" i="197"/>
  <c r="Y82" i="197"/>
  <c r="X79" i="197"/>
  <c r="U76" i="197"/>
  <c r="W71" i="197"/>
  <c r="X66" i="197"/>
  <c r="Y61" i="197"/>
  <c r="Z56" i="197"/>
  <c r="AA51" i="197"/>
  <c r="AB46" i="197"/>
  <c r="T40" i="197"/>
  <c r="V30" i="197"/>
  <c r="AB12" i="197"/>
  <c r="Q250" i="197"/>
  <c r="U250" i="197" l="1"/>
  <c r="Y250" i="197"/>
  <c r="AC250" i="197"/>
  <c r="V250" i="197"/>
  <c r="AA250" i="197"/>
  <c r="S250" i="197"/>
  <c r="X250" i="197"/>
  <c r="AD250" i="197"/>
  <c r="T250" i="197"/>
  <c r="Z250" i="197"/>
  <c r="AE250" i="197"/>
  <c r="R250" i="197"/>
  <c r="W250" i="197"/>
  <c r="AB250" i="197"/>
  <c r="AF5" i="197"/>
  <c r="AF9" i="197"/>
  <c r="AF13" i="197"/>
  <c r="AF17" i="197"/>
  <c r="AF21" i="197"/>
  <c r="AF25" i="197"/>
  <c r="AF29" i="197"/>
  <c r="AF33" i="197"/>
  <c r="AF37" i="197"/>
  <c r="AF42" i="197"/>
  <c r="AF46" i="197"/>
  <c r="AF50" i="197"/>
  <c r="AF54" i="197"/>
  <c r="AF58" i="197"/>
  <c r="AF62" i="197"/>
  <c r="AF66" i="197"/>
  <c r="AF70" i="197"/>
  <c r="AF74" i="197"/>
  <c r="AF78" i="197"/>
  <c r="AF82" i="197"/>
  <c r="AF86" i="197"/>
  <c r="AF90" i="197"/>
  <c r="AF94" i="197"/>
  <c r="AF98" i="197"/>
  <c r="AF102" i="197"/>
  <c r="AF106" i="197"/>
  <c r="AF110" i="197"/>
  <c r="AF114" i="197"/>
  <c r="AF118" i="197"/>
  <c r="AF122" i="197"/>
  <c r="AF126" i="197"/>
  <c r="AF130" i="197"/>
  <c r="AF134" i="197"/>
  <c r="AF138" i="197"/>
  <c r="AF142" i="197"/>
  <c r="AF146" i="197"/>
  <c r="AF150" i="197"/>
  <c r="AF154" i="197"/>
  <c r="AF158" i="197"/>
  <c r="AF162" i="197"/>
  <c r="AF166" i="197"/>
  <c r="AF170" i="197"/>
  <c r="AF174" i="197"/>
  <c r="AF178" i="197"/>
  <c r="AF182" i="197"/>
  <c r="AF186" i="197"/>
  <c r="AF190" i="197"/>
  <c r="AF194" i="197"/>
  <c r="AF198" i="197"/>
  <c r="AF202" i="197"/>
  <c r="AF206" i="197"/>
  <c r="AF210" i="197"/>
  <c r="AF214" i="197"/>
  <c r="AF218" i="197"/>
  <c r="AF222" i="197"/>
  <c r="AF226" i="197"/>
  <c r="AF230" i="197"/>
  <c r="AF234" i="197"/>
  <c r="AF238" i="197"/>
  <c r="AF242" i="197"/>
  <c r="AF246" i="197"/>
  <c r="AF38" i="197"/>
  <c r="AF6" i="197"/>
  <c r="AF10" i="197"/>
  <c r="AF14" i="197"/>
  <c r="AF18" i="197"/>
  <c r="AF22" i="197"/>
  <c r="AF26" i="197"/>
  <c r="AF30" i="197"/>
  <c r="AF34" i="197"/>
  <c r="AF39" i="197"/>
  <c r="AF43" i="197"/>
  <c r="AF47" i="197"/>
  <c r="AF250" i="197"/>
  <c r="AF8" i="197"/>
  <c r="AF16" i="197"/>
  <c r="AF24" i="197"/>
  <c r="AF32" i="197"/>
  <c r="AF41" i="197"/>
  <c r="AF49" i="197"/>
  <c r="AF55" i="197"/>
  <c r="AF60" i="197"/>
  <c r="AF65" i="197"/>
  <c r="AF71" i="197"/>
  <c r="AF76" i="197"/>
  <c r="AF81" i="197"/>
  <c r="AF87" i="197"/>
  <c r="AF92" i="197"/>
  <c r="AF97" i="197"/>
  <c r="AF103" i="197"/>
  <c r="AF108" i="197"/>
  <c r="AF113" i="197"/>
  <c r="AF119" i="197"/>
  <c r="AF124" i="197"/>
  <c r="AF129" i="197"/>
  <c r="AF135" i="197"/>
  <c r="AF140" i="197"/>
  <c r="AF145" i="197"/>
  <c r="AF151" i="197"/>
  <c r="AF156" i="197"/>
  <c r="AF161" i="197"/>
  <c r="AF167" i="197"/>
  <c r="AF172" i="197"/>
  <c r="AF177" i="197"/>
  <c r="AF183" i="197"/>
  <c r="AF188" i="197"/>
  <c r="AF193" i="197"/>
  <c r="AF199" i="197"/>
  <c r="AF204" i="197"/>
  <c r="AF209" i="197"/>
  <c r="AF215" i="197"/>
  <c r="AF220" i="197"/>
  <c r="AF225" i="197"/>
  <c r="AF231" i="197"/>
  <c r="AF236" i="197"/>
  <c r="AF241" i="197"/>
  <c r="AF247" i="197"/>
  <c r="AF3" i="197"/>
  <c r="AF11" i="197"/>
  <c r="AF19" i="197"/>
  <c r="AF27" i="197"/>
  <c r="AF35" i="197"/>
  <c r="AF44" i="197"/>
  <c r="AF51" i="197"/>
  <c r="AF56" i="197"/>
  <c r="AF61" i="197"/>
  <c r="AF67" i="197"/>
  <c r="AF72" i="197"/>
  <c r="AF77" i="197"/>
  <c r="AF83" i="197"/>
  <c r="AF88" i="197"/>
  <c r="AF93" i="197"/>
  <c r="AF99" i="197"/>
  <c r="AF104" i="197"/>
  <c r="AF109" i="197"/>
  <c r="AF115" i="197"/>
  <c r="AF120" i="197"/>
  <c r="AF125" i="197"/>
  <c r="AF131" i="197"/>
  <c r="AF136" i="197"/>
  <c r="AF141" i="197"/>
  <c r="AF147" i="197"/>
  <c r="AF152" i="197"/>
  <c r="AF157" i="197"/>
  <c r="AF163" i="197"/>
  <c r="AF168" i="197"/>
  <c r="AF173" i="197"/>
  <c r="AF179" i="197"/>
  <c r="AF184" i="197"/>
  <c r="AF189" i="197"/>
  <c r="AF195" i="197"/>
  <c r="AF200" i="197"/>
  <c r="AF205" i="197"/>
  <c r="AF211" i="197"/>
  <c r="AF216" i="197"/>
  <c r="AF221" i="197"/>
  <c r="AF227" i="197"/>
  <c r="AF232" i="197"/>
  <c r="AF237" i="197"/>
  <c r="AF243" i="197"/>
  <c r="AF248" i="197"/>
  <c r="AF4" i="197"/>
  <c r="AF12" i="197"/>
  <c r="AF20" i="197"/>
  <c r="AF28" i="197"/>
  <c r="AF36" i="197"/>
  <c r="AF45" i="197"/>
  <c r="AF52" i="197"/>
  <c r="AF57" i="197"/>
  <c r="AF63" i="197"/>
  <c r="AF68" i="197"/>
  <c r="AF73" i="197"/>
  <c r="AF79" i="197"/>
  <c r="AF84" i="197"/>
  <c r="AF89" i="197"/>
  <c r="AF95" i="197"/>
  <c r="AF100" i="197"/>
  <c r="AF105" i="197"/>
  <c r="AF111" i="197"/>
  <c r="AF116" i="197"/>
  <c r="AF121" i="197"/>
  <c r="AF127" i="197"/>
  <c r="AF132" i="197"/>
  <c r="AF137" i="197"/>
  <c r="AF143" i="197"/>
  <c r="AF148" i="197"/>
  <c r="AF153" i="197"/>
  <c r="AF159" i="197"/>
  <c r="AF164" i="197"/>
  <c r="AF169" i="197"/>
  <c r="AF175" i="197"/>
  <c r="AF180" i="197"/>
  <c r="AF185" i="197"/>
  <c r="AF191" i="197"/>
  <c r="AF196" i="197"/>
  <c r="AF201" i="197"/>
  <c r="AF207" i="197"/>
  <c r="AF212" i="197"/>
  <c r="AF217" i="197"/>
  <c r="AF223" i="197"/>
  <c r="AF228" i="197"/>
  <c r="AF233" i="197"/>
  <c r="AF239" i="197"/>
  <c r="AF244" i="197"/>
  <c r="AF249" i="197"/>
  <c r="AF7" i="197"/>
  <c r="AF15" i="197"/>
  <c r="AF23" i="197"/>
  <c r="AF31" i="197"/>
  <c r="AF40" i="197"/>
  <c r="AF48" i="197"/>
  <c r="AF53" i="197"/>
  <c r="AF59" i="197"/>
  <c r="AF64" i="197"/>
  <c r="AF69" i="197"/>
  <c r="AF75" i="197"/>
  <c r="AF80" i="197"/>
  <c r="AF85" i="197"/>
  <c r="AF91" i="197"/>
  <c r="AF96" i="197"/>
  <c r="AF101" i="197"/>
  <c r="AF107" i="197"/>
  <c r="AF112" i="197"/>
  <c r="AF117" i="197"/>
  <c r="AF123" i="197"/>
  <c r="AF128" i="197"/>
  <c r="AF133" i="197"/>
  <c r="AF139" i="197"/>
  <c r="AF144" i="197"/>
  <c r="AF149" i="197"/>
  <c r="AF155" i="197"/>
  <c r="AF160" i="197"/>
  <c r="AF165" i="197"/>
  <c r="AF171" i="197"/>
  <c r="AF176" i="197"/>
  <c r="AF181" i="197"/>
  <c r="AF187" i="197"/>
  <c r="AF192" i="197"/>
  <c r="AF197" i="197"/>
  <c r="AF203" i="197"/>
  <c r="AF208" i="197"/>
  <c r="AF224" i="197"/>
  <c r="AF245" i="197"/>
  <c r="AF213" i="197"/>
  <c r="AF219" i="197"/>
  <c r="AF229" i="197"/>
  <c r="AF235" i="197"/>
  <c r="AF240" i="197"/>
  <c r="D16" i="185"/>
  <c r="AG229" i="197" l="1"/>
  <c r="AG224" i="197"/>
  <c r="AG192" i="197"/>
  <c r="AG171" i="197"/>
  <c r="AG149" i="197"/>
  <c r="AG128" i="197"/>
  <c r="AG107" i="197"/>
  <c r="AG85" i="197"/>
  <c r="AG64" i="197"/>
  <c r="AG40" i="197"/>
  <c r="AG7" i="197"/>
  <c r="AG233" i="197"/>
  <c r="AG212" i="197"/>
  <c r="AG191" i="197"/>
  <c r="AG169" i="197"/>
  <c r="AG148" i="197"/>
  <c r="AG127" i="197"/>
  <c r="AG105" i="197"/>
  <c r="AG84" i="197"/>
  <c r="AG63" i="197"/>
  <c r="AG36" i="197"/>
  <c r="AG4" i="197"/>
  <c r="AG232" i="197"/>
  <c r="AG211" i="197"/>
  <c r="AG189" i="197"/>
  <c r="AG168" i="197"/>
  <c r="AG147" i="197"/>
  <c r="AG125" i="197"/>
  <c r="AG104" i="197"/>
  <c r="AG83" i="197"/>
  <c r="AG61" i="197"/>
  <c r="AG35" i="197"/>
  <c r="AG231" i="197"/>
  <c r="AG209" i="197"/>
  <c r="AG188" i="197"/>
  <c r="AG167" i="197"/>
  <c r="AG145" i="197"/>
  <c r="AG124" i="197"/>
  <c r="AG103" i="197"/>
  <c r="AG81" i="197"/>
  <c r="AG60" i="197"/>
  <c r="AG32" i="197"/>
  <c r="AG34" i="197"/>
  <c r="AG156" i="197"/>
  <c r="Q11" i="198"/>
  <c r="N11" i="198"/>
  <c r="N58" i="198" s="1"/>
  <c r="W11" i="198"/>
  <c r="P11" i="198"/>
  <c r="V11" i="198"/>
  <c r="O11" i="198"/>
  <c r="U11" i="198"/>
  <c r="I14" i="192"/>
  <c r="AG18" i="197"/>
  <c r="AG218" i="197"/>
  <c r="AG186" i="197"/>
  <c r="AG170" i="197"/>
  <c r="AG138" i="197"/>
  <c r="AG122" i="197"/>
  <c r="AG106" i="197"/>
  <c r="AG90" i="197"/>
  <c r="AG74" i="197"/>
  <c r="AG58" i="197"/>
  <c r="AG42" i="197"/>
  <c r="AG25" i="197"/>
  <c r="AG9" i="197"/>
  <c r="AG219" i="197"/>
  <c r="AG208" i="197"/>
  <c r="AG187" i="197"/>
  <c r="AG165" i="197"/>
  <c r="AG144" i="197"/>
  <c r="AG123" i="197"/>
  <c r="AG101" i="197"/>
  <c r="AG80" i="197"/>
  <c r="AG59" i="197"/>
  <c r="AG31" i="197"/>
  <c r="AG249" i="197"/>
  <c r="AH249" i="197" s="1"/>
  <c r="AG228" i="197"/>
  <c r="AG207" i="197"/>
  <c r="AG185" i="197"/>
  <c r="AG164" i="197"/>
  <c r="AG143" i="197"/>
  <c r="AG121" i="197"/>
  <c r="AG100" i="197"/>
  <c r="AG79" i="197"/>
  <c r="AG57" i="197"/>
  <c r="AG28" i="197"/>
  <c r="AG248" i="197"/>
  <c r="AG227" i="197"/>
  <c r="AG205" i="197"/>
  <c r="AG184" i="197"/>
  <c r="AG163" i="197"/>
  <c r="AG141" i="197"/>
  <c r="AG120" i="197"/>
  <c r="AG38" i="197"/>
  <c r="AG250" i="197"/>
  <c r="AH250" i="197" s="1"/>
  <c r="AG3" i="197"/>
  <c r="AG234" i="197"/>
  <c r="AG202" i="197"/>
  <c r="AG154" i="197"/>
  <c r="AG240" i="197"/>
  <c r="AG213" i="197"/>
  <c r="AG203" i="197"/>
  <c r="AG181" i="197"/>
  <c r="AG160" i="197"/>
  <c r="AG139" i="197"/>
  <c r="AG117" i="197"/>
  <c r="AG96" i="197"/>
  <c r="AG75" i="197"/>
  <c r="AG53" i="197"/>
  <c r="AG23" i="197"/>
  <c r="AG244" i="197"/>
  <c r="AG223" i="197"/>
  <c r="AG201" i="197"/>
  <c r="AG180" i="197"/>
  <c r="AG159" i="197"/>
  <c r="AG137" i="197"/>
  <c r="AG116" i="197"/>
  <c r="AG95" i="197"/>
  <c r="AG73" i="197"/>
  <c r="AG52" i="197"/>
  <c r="AG20" i="197"/>
  <c r="AG243" i="197"/>
  <c r="AG221" i="197"/>
  <c r="AG200" i="197"/>
  <c r="AG179" i="197"/>
  <c r="AG157" i="197"/>
  <c r="AG136" i="197"/>
  <c r="AG115" i="197"/>
  <c r="AG93" i="197"/>
  <c r="AG72" i="197"/>
  <c r="AG51" i="197"/>
  <c r="AG19" i="197"/>
  <c r="AG241" i="197"/>
  <c r="AG220" i="197"/>
  <c r="AG199" i="197"/>
  <c r="AG177" i="197"/>
  <c r="AG135" i="197"/>
  <c r="AG99" i="197"/>
  <c r="AG77" i="197"/>
  <c r="AG56" i="197"/>
  <c r="AG27" i="197"/>
  <c r="AG247" i="197"/>
  <c r="AG225" i="197"/>
  <c r="AG204" i="197"/>
  <c r="AG183" i="197"/>
  <c r="AG161" i="197"/>
  <c r="AG140" i="197"/>
  <c r="AG119" i="197"/>
  <c r="AG97" i="197"/>
  <c r="AG76" i="197"/>
  <c r="AG55" i="197"/>
  <c r="AG24" i="197"/>
  <c r="AG47" i="197"/>
  <c r="AG30" i="197"/>
  <c r="AG14" i="197"/>
  <c r="AG246" i="197"/>
  <c r="AG230" i="197"/>
  <c r="AG214" i="197"/>
  <c r="AG198" i="197"/>
  <c r="AG182" i="197"/>
  <c r="AG166" i="197"/>
  <c r="AG150" i="197"/>
  <c r="AG134" i="197"/>
  <c r="AG118" i="197"/>
  <c r="AG102" i="197"/>
  <c r="AG86" i="197"/>
  <c r="AG70" i="197"/>
  <c r="AG54" i="197"/>
  <c r="AG37" i="197"/>
  <c r="AG21" i="197"/>
  <c r="AG5" i="197"/>
  <c r="AG113" i="197"/>
  <c r="AG92" i="197"/>
  <c r="AG71" i="197"/>
  <c r="AG49" i="197"/>
  <c r="AG16" i="197"/>
  <c r="AG43" i="197"/>
  <c r="AG26" i="197"/>
  <c r="AG10" i="197"/>
  <c r="AG242" i="197"/>
  <c r="AG226" i="197"/>
  <c r="AG210" i="197"/>
  <c r="AG194" i="197"/>
  <c r="AG178" i="197"/>
  <c r="AG162" i="197"/>
  <c r="AG146" i="197"/>
  <c r="AG130" i="197"/>
  <c r="AG114" i="197"/>
  <c r="AG98" i="197"/>
  <c r="AG82" i="197"/>
  <c r="AG66" i="197"/>
  <c r="AG50" i="197"/>
  <c r="AG33" i="197"/>
  <c r="AG17" i="197"/>
  <c r="AG235" i="197"/>
  <c r="AG245" i="197"/>
  <c r="AG197" i="197"/>
  <c r="AG176" i="197"/>
  <c r="AG155" i="197"/>
  <c r="AG133" i="197"/>
  <c r="AG112" i="197"/>
  <c r="AG91" i="197"/>
  <c r="AG69" i="197"/>
  <c r="AG48" i="197"/>
  <c r="AG15" i="197"/>
  <c r="AG239" i="197"/>
  <c r="AG217" i="197"/>
  <c r="AG196" i="197"/>
  <c r="AG175" i="197"/>
  <c r="AG153" i="197"/>
  <c r="AG132" i="197"/>
  <c r="AG111" i="197"/>
  <c r="AG89" i="197"/>
  <c r="AG68" i="197"/>
  <c r="AG45" i="197"/>
  <c r="AG12" i="197"/>
  <c r="AG237" i="197"/>
  <c r="AG216" i="197"/>
  <c r="AG195" i="197"/>
  <c r="AG173" i="197"/>
  <c r="AG152" i="197"/>
  <c r="AG131" i="197"/>
  <c r="AG109" i="197"/>
  <c r="AG88" i="197"/>
  <c r="AG67" i="197"/>
  <c r="AG44" i="197"/>
  <c r="AG11" i="197"/>
  <c r="AG236" i="197"/>
  <c r="AG215" i="197"/>
  <c r="AG193" i="197"/>
  <c r="AG172" i="197"/>
  <c r="AG151" i="197"/>
  <c r="AG129" i="197"/>
  <c r="AG108" i="197"/>
  <c r="AG87" i="197"/>
  <c r="AG65" i="197"/>
  <c r="AG41" i="197"/>
  <c r="AG8" i="197"/>
  <c r="AG39" i="197"/>
  <c r="AG22" i="197"/>
  <c r="AG6" i="197"/>
  <c r="AG238" i="197"/>
  <c r="AG222" i="197"/>
  <c r="AG206" i="197"/>
  <c r="AG190" i="197"/>
  <c r="AG174" i="197"/>
  <c r="AG158" i="197"/>
  <c r="AG142" i="197"/>
  <c r="AG126" i="197"/>
  <c r="AG110" i="197"/>
  <c r="AG94" i="197"/>
  <c r="AG78" i="197"/>
  <c r="AG62" i="197"/>
  <c r="AG46" i="197"/>
  <c r="AG29" i="197"/>
  <c r="AG13" i="197"/>
  <c r="O6" i="193"/>
  <c r="P6" i="193"/>
  <c r="Q6" i="193"/>
  <c r="R6" i="193"/>
  <c r="R15" i="193"/>
  <c r="Q15" i="193"/>
  <c r="P15" i="193"/>
  <c r="O15" i="193"/>
  <c r="R13" i="193"/>
  <c r="Q13" i="193"/>
  <c r="P13" i="193"/>
  <c r="O13" i="193"/>
  <c r="P9" i="193"/>
  <c r="Q9" i="193"/>
  <c r="R9" i="193"/>
  <c r="O9" i="193"/>
  <c r="R7" i="193"/>
  <c r="Q7" i="193"/>
  <c r="P7" i="193"/>
  <c r="O7" i="193"/>
  <c r="AK8" i="197" l="1"/>
  <c r="AH107" i="197" s="1"/>
  <c r="P58" i="198"/>
  <c r="O58" i="198"/>
  <c r="AK4" i="197"/>
  <c r="AH246" i="197" s="1"/>
  <c r="Q58" i="198"/>
  <c r="AH108" i="197"/>
  <c r="AH60" i="197"/>
  <c r="AH155" i="197"/>
  <c r="AH168" i="197"/>
  <c r="AH7" i="197"/>
  <c r="AH190" i="197"/>
  <c r="AH148" i="197"/>
  <c r="AH179" i="197"/>
  <c r="AH177" i="197"/>
  <c r="AH230" i="197"/>
  <c r="AH171" i="197"/>
  <c r="AH91" i="197"/>
  <c r="AH226" i="197"/>
  <c r="AH82" i="197"/>
  <c r="AH9" i="197"/>
  <c r="AH56" i="197"/>
  <c r="AH87" i="197"/>
  <c r="AH23" i="197"/>
  <c r="AH181" i="197"/>
  <c r="AH101" i="197"/>
  <c r="AH37" i="197"/>
  <c r="AH52" i="197"/>
  <c r="AH36" i="197"/>
  <c r="AH4" i="197"/>
  <c r="AH147" i="197"/>
  <c r="AH115" i="197"/>
  <c r="AH35" i="197"/>
  <c r="AH58" i="197"/>
  <c r="AH42" i="197"/>
  <c r="AH129" i="197"/>
  <c r="AH112" i="197"/>
  <c r="AH96" i="197"/>
  <c r="AH64" i="197"/>
  <c r="AH191" i="197"/>
  <c r="AH175" i="197"/>
  <c r="AH79" i="197"/>
  <c r="AH31" i="197"/>
  <c r="AH86" i="197"/>
  <c r="AH205" i="197"/>
  <c r="AH141" i="197"/>
  <c r="AH45" i="197"/>
  <c r="AH13" i="197"/>
  <c r="AK11" i="197"/>
  <c r="AK12" i="197"/>
  <c r="AK6" i="197"/>
  <c r="AK10" i="197"/>
  <c r="AK3" i="197"/>
  <c r="AK9" i="197"/>
  <c r="AK5" i="197"/>
  <c r="AK13" i="197"/>
  <c r="AK7" i="197"/>
  <c r="R39" i="193"/>
  <c r="Q39" i="193"/>
  <c r="P39" i="193"/>
  <c r="O39" i="193"/>
  <c r="R22" i="193"/>
  <c r="Q22" i="193"/>
  <c r="P22" i="193"/>
  <c r="O22" i="193"/>
  <c r="K42" i="196"/>
  <c r="J42" i="196"/>
  <c r="I42" i="196"/>
  <c r="H42" i="196"/>
  <c r="E42" i="196"/>
  <c r="D42" i="196"/>
  <c r="C42" i="196"/>
  <c r="B42" i="196"/>
  <c r="F37" i="186"/>
  <c r="F29" i="186"/>
  <c r="E41" i="186"/>
  <c r="F38" i="186" s="1"/>
  <c r="F28" i="186" l="1"/>
  <c r="F35" i="186"/>
  <c r="AH85" i="197"/>
  <c r="AH213" i="197"/>
  <c r="AH199" i="197"/>
  <c r="AH137" i="197"/>
  <c r="AH59" i="197"/>
  <c r="AH220" i="197"/>
  <c r="F32" i="186"/>
  <c r="F39" i="186"/>
  <c r="AH16" i="197"/>
  <c r="AH234" i="197"/>
  <c r="AH138" i="197"/>
  <c r="AH211" i="197"/>
  <c r="AH116" i="197"/>
  <c r="AH133" i="197"/>
  <c r="AH55" i="197"/>
  <c r="AH104" i="197"/>
  <c r="AH114" i="197"/>
  <c r="AH198" i="197"/>
  <c r="AH117" i="197"/>
  <c r="AH18" i="197"/>
  <c r="F27" i="186"/>
  <c r="F33" i="186"/>
  <c r="F40" i="186"/>
  <c r="F31" i="186"/>
  <c r="F36" i="186"/>
  <c r="AH92" i="197"/>
  <c r="AH12" i="197"/>
  <c r="AH203" i="197"/>
  <c r="AH210" i="197"/>
  <c r="AH224" i="197"/>
  <c r="AH201" i="197"/>
  <c r="AH153" i="197"/>
  <c r="AH73" i="197"/>
  <c r="AH25" i="197"/>
  <c r="AH152" i="197"/>
  <c r="AH167" i="197"/>
  <c r="AH206" i="197"/>
  <c r="AH158" i="197"/>
  <c r="AH142" i="197"/>
  <c r="AH149" i="197"/>
  <c r="AH53" i="197"/>
  <c r="AH180" i="197"/>
  <c r="AH164" i="197"/>
  <c r="AH84" i="197"/>
  <c r="AH195" i="197"/>
  <c r="AH90" i="197"/>
  <c r="AH26" i="197"/>
  <c r="AH193" i="197"/>
  <c r="AH33" i="197"/>
  <c r="AH247" i="197"/>
  <c r="AH47" i="197"/>
  <c r="AH134" i="197"/>
  <c r="AH22" i="197"/>
  <c r="AH93" i="197"/>
  <c r="AH29" i="197"/>
  <c r="AH194" i="197"/>
  <c r="AH130" i="197"/>
  <c r="AH66" i="197"/>
  <c r="AH41" i="197"/>
  <c r="AH99" i="197"/>
  <c r="AH67" i="197"/>
  <c r="AH106" i="197"/>
  <c r="AH17" i="197"/>
  <c r="AH244" i="197"/>
  <c r="AH221" i="197"/>
  <c r="AH233" i="197"/>
  <c r="AH75" i="197"/>
  <c r="AH185" i="197"/>
  <c r="AH121" i="197"/>
  <c r="AH208" i="197"/>
  <c r="AH215" i="197"/>
  <c r="AH135" i="197"/>
  <c r="AH110" i="197"/>
  <c r="AH30" i="197"/>
  <c r="AH235" i="197"/>
  <c r="AH163" i="197"/>
  <c r="AH3" i="197"/>
  <c r="AH145" i="197"/>
  <c r="AH192" i="197"/>
  <c r="AH176" i="197"/>
  <c r="AH144" i="197"/>
  <c r="AH80" i="197"/>
  <c r="AH32" i="197"/>
  <c r="AH54" i="197"/>
  <c r="AH125" i="197"/>
  <c r="AH109" i="197"/>
  <c r="AH44" i="197"/>
  <c r="AH11" i="197"/>
  <c r="AH222" i="197"/>
  <c r="AH241" i="197"/>
  <c r="AH232" i="197"/>
  <c r="AH113" i="197"/>
  <c r="AH48" i="197"/>
  <c r="AH159" i="197"/>
  <c r="AH6" i="197"/>
  <c r="AH189" i="197"/>
  <c r="AH240" i="197"/>
  <c r="AH204" i="197"/>
  <c r="AH28" i="197"/>
  <c r="AH178" i="197"/>
  <c r="AH34" i="197"/>
  <c r="AH89" i="197"/>
  <c r="AH242" i="197"/>
  <c r="AH229" i="197"/>
  <c r="AH236" i="197"/>
  <c r="AH239" i="197"/>
  <c r="AH136" i="197"/>
  <c r="AH88" i="197"/>
  <c r="AH8" i="197"/>
  <c r="AH103" i="197"/>
  <c r="AH62" i="197"/>
  <c r="AH165" i="197"/>
  <c r="AH196" i="197"/>
  <c r="AH209" i="197"/>
  <c r="AH81" i="197"/>
  <c r="AH231" i="197"/>
  <c r="AH160" i="197"/>
  <c r="AH111" i="197"/>
  <c r="AH216" i="197"/>
  <c r="AH118" i="197"/>
  <c r="AH157" i="197"/>
  <c r="AH61" i="197"/>
  <c r="AH156" i="197"/>
  <c r="AH123" i="197"/>
  <c r="AH43" i="197"/>
  <c r="AH27" i="197"/>
  <c r="AH146" i="197"/>
  <c r="AH50" i="197"/>
  <c r="AH169" i="197"/>
  <c r="AH57" i="197"/>
  <c r="AH184" i="197"/>
  <c r="AH120" i="197"/>
  <c r="AH197" i="197"/>
  <c r="AH132" i="197"/>
  <c r="AH100" i="197"/>
  <c r="AH131" i="197"/>
  <c r="AH19" i="197"/>
  <c r="AH202" i="197"/>
  <c r="AH186" i="197"/>
  <c r="AH170" i="197"/>
  <c r="AH154" i="197"/>
  <c r="AH225" i="197"/>
  <c r="AH97" i="197"/>
  <c r="AH49" i="197"/>
  <c r="AH228" i="197"/>
  <c r="AH223" i="197"/>
  <c r="AH214" i="197"/>
  <c r="AH150" i="197"/>
  <c r="AH70" i="197"/>
  <c r="AH188" i="197"/>
  <c r="AH172" i="197"/>
  <c r="AH76" i="197"/>
  <c r="AH139" i="197"/>
  <c r="AH200" i="197"/>
  <c r="AH72" i="197"/>
  <c r="AH183" i="197"/>
  <c r="AH71" i="197"/>
  <c r="AH126" i="197"/>
  <c r="AH94" i="197"/>
  <c r="AH78" i="197"/>
  <c r="AH5" i="197"/>
  <c r="AH68" i="197"/>
  <c r="AH20" i="197"/>
  <c r="AH83" i="197"/>
  <c r="AH10" i="197"/>
  <c r="AH161" i="197"/>
  <c r="AH102" i="197"/>
  <c r="AH173" i="197"/>
  <c r="AH77" i="197"/>
  <c r="AH140" i="197"/>
  <c r="AH219" i="197"/>
  <c r="AH217" i="197"/>
  <c r="AH245" i="197"/>
  <c r="AH40" i="197"/>
  <c r="AH151" i="197"/>
  <c r="AH119" i="197"/>
  <c r="AH39" i="197"/>
  <c r="AH14" i="197"/>
  <c r="AH212" i="197"/>
  <c r="AH21" i="197"/>
  <c r="AH248" i="197"/>
  <c r="AH218" i="197"/>
  <c r="AH122" i="197"/>
  <c r="AH74" i="197"/>
  <c r="AH65" i="197"/>
  <c r="AH237" i="197"/>
  <c r="AH128" i="197"/>
  <c r="AH143" i="197"/>
  <c r="AH127" i="197"/>
  <c r="AH63" i="197"/>
  <c r="AH15" i="197"/>
  <c r="AH166" i="197"/>
  <c r="AH243" i="197"/>
  <c r="AH124" i="197"/>
  <c r="AH187" i="197"/>
  <c r="AH162" i="197"/>
  <c r="AH98" i="197"/>
  <c r="AH105" i="197"/>
  <c r="AH24" i="197"/>
  <c r="AH174" i="197"/>
  <c r="AH46" i="197"/>
  <c r="AH69" i="197"/>
  <c r="AH238" i="197"/>
  <c r="AH227" i="197"/>
  <c r="AH51" i="197"/>
  <c r="AH207" i="197"/>
  <c r="AH95" i="197"/>
  <c r="AH182" i="197"/>
  <c r="AH38" i="197"/>
  <c r="F30" i="186"/>
  <c r="F34" i="186"/>
  <c r="I15" i="192" l="1"/>
  <c r="W10" i="199" s="1"/>
  <c r="E77" i="188" s="1"/>
  <c r="B21" i="189"/>
  <c r="D3" i="194"/>
  <c r="D4" i="194"/>
  <c r="D5" i="194"/>
  <c r="D6" i="194"/>
  <c r="D7" i="194"/>
  <c r="D8" i="194"/>
  <c r="D9" i="194"/>
  <c r="D10" i="194"/>
  <c r="D11" i="194"/>
  <c r="D12" i="194"/>
  <c r="D13" i="194"/>
  <c r="D15" i="194"/>
  <c r="D14" i="194"/>
  <c r="D16" i="194"/>
  <c r="D17" i="194"/>
  <c r="D18" i="194"/>
  <c r="D19" i="194"/>
  <c r="D20" i="194"/>
  <c r="D21" i="194"/>
  <c r="D22" i="194"/>
  <c r="D23" i="194"/>
  <c r="D24" i="194"/>
  <c r="D25" i="194"/>
  <c r="D26" i="194"/>
  <c r="D27" i="194"/>
  <c r="D28" i="194"/>
  <c r="D29" i="194"/>
  <c r="D30" i="194"/>
  <c r="D31" i="194"/>
  <c r="D32" i="194"/>
  <c r="D33" i="194"/>
  <c r="D34" i="194"/>
  <c r="D35" i="194"/>
  <c r="D36" i="194"/>
  <c r="D37" i="194"/>
  <c r="D38" i="194"/>
  <c r="D39" i="194"/>
  <c r="D40" i="194"/>
  <c r="D41" i="194"/>
  <c r="D42" i="194"/>
  <c r="D43" i="194"/>
  <c r="D44" i="194"/>
  <c r="D45" i="194"/>
  <c r="D46" i="194"/>
  <c r="D47" i="194"/>
  <c r="D48" i="194"/>
  <c r="D49" i="194"/>
  <c r="D50" i="194"/>
  <c r="D51" i="194"/>
  <c r="D52" i="194"/>
  <c r="D53" i="194"/>
  <c r="D54" i="194"/>
  <c r="D55" i="194"/>
  <c r="D56" i="194"/>
  <c r="D57" i="194"/>
  <c r="D58" i="194"/>
  <c r="D59" i="194"/>
  <c r="D60" i="194"/>
  <c r="D61" i="194"/>
  <c r="D62" i="194"/>
  <c r="D63" i="194"/>
  <c r="D64" i="194"/>
  <c r="D65" i="194"/>
  <c r="D66" i="194"/>
  <c r="D67" i="194"/>
  <c r="D68" i="194"/>
  <c r="D69" i="194"/>
  <c r="D70" i="194"/>
  <c r="D71" i="194"/>
  <c r="D72" i="194"/>
  <c r="D73" i="194"/>
  <c r="D74" i="194"/>
  <c r="D75" i="194"/>
  <c r="D76" i="194"/>
  <c r="D77" i="194"/>
  <c r="D78" i="194"/>
  <c r="D79" i="194"/>
  <c r="D80" i="194"/>
  <c r="D81" i="194"/>
  <c r="D82" i="194"/>
  <c r="D83" i="194"/>
  <c r="D84" i="194"/>
  <c r="D85" i="194"/>
  <c r="D86" i="194"/>
  <c r="D87" i="194"/>
  <c r="D88" i="194"/>
  <c r="D89" i="194"/>
  <c r="D90" i="194"/>
  <c r="D91" i="194"/>
  <c r="D92" i="194"/>
  <c r="D93" i="194"/>
  <c r="D94" i="194"/>
  <c r="D95" i="194"/>
  <c r="D96" i="194"/>
  <c r="D97" i="194"/>
  <c r="D98" i="194"/>
  <c r="D99" i="194"/>
  <c r="D100" i="194"/>
  <c r="D101" i="194"/>
  <c r="D102" i="194"/>
  <c r="D103" i="194"/>
  <c r="D104" i="194"/>
  <c r="D105" i="194"/>
  <c r="D106" i="194"/>
  <c r="D107" i="194"/>
  <c r="D108" i="194"/>
  <c r="D109" i="194"/>
  <c r="D110" i="194"/>
  <c r="D111" i="194"/>
  <c r="D112" i="194"/>
  <c r="D113" i="194"/>
  <c r="D114" i="194"/>
  <c r="D115" i="194"/>
  <c r="D116" i="194"/>
  <c r="D117" i="194"/>
  <c r="D118" i="194"/>
  <c r="D119" i="194"/>
  <c r="D120" i="194"/>
  <c r="D121" i="194"/>
  <c r="D122" i="194"/>
  <c r="D123" i="194"/>
  <c r="D124" i="194"/>
  <c r="D125" i="194"/>
  <c r="D126" i="194"/>
  <c r="D127" i="194"/>
  <c r="D128" i="194"/>
  <c r="D129" i="194"/>
  <c r="D130" i="194"/>
  <c r="D131" i="194"/>
  <c r="D132" i="194"/>
  <c r="D133" i="194"/>
  <c r="D134" i="194"/>
  <c r="D135" i="194"/>
  <c r="D136" i="194"/>
  <c r="D137" i="194"/>
  <c r="D138" i="194"/>
  <c r="D139" i="194"/>
  <c r="D140" i="194"/>
  <c r="D141" i="194"/>
  <c r="D142" i="194"/>
  <c r="D144" i="194"/>
  <c r="D143" i="194"/>
  <c r="D145" i="194"/>
  <c r="D146" i="194"/>
  <c r="D147" i="194"/>
  <c r="D148" i="194"/>
  <c r="D149" i="194"/>
  <c r="D150" i="194"/>
  <c r="D151" i="194"/>
  <c r="D152" i="194"/>
  <c r="D153" i="194"/>
  <c r="D154" i="194"/>
  <c r="D155" i="194"/>
  <c r="D156" i="194"/>
  <c r="D157" i="194"/>
  <c r="D158" i="194"/>
  <c r="D159" i="194"/>
  <c r="D160" i="194"/>
  <c r="D161" i="194"/>
  <c r="D162" i="194"/>
  <c r="D163" i="194"/>
  <c r="D164" i="194"/>
  <c r="D165" i="194"/>
  <c r="D166" i="194"/>
  <c r="D167" i="194"/>
  <c r="D168" i="194"/>
  <c r="D169" i="194"/>
  <c r="D170" i="194"/>
  <c r="D171" i="194"/>
  <c r="D172" i="194"/>
  <c r="D173" i="194"/>
  <c r="D174" i="194"/>
  <c r="D175" i="194"/>
  <c r="D176" i="194"/>
  <c r="D177" i="194"/>
  <c r="D182" i="194"/>
  <c r="D183" i="194"/>
  <c r="D184" i="194"/>
  <c r="D185" i="194"/>
  <c r="D186" i="194"/>
  <c r="D187" i="194"/>
  <c r="D188" i="194"/>
  <c r="D189" i="194"/>
  <c r="D190" i="194"/>
  <c r="D191" i="194"/>
  <c r="D192" i="194"/>
  <c r="D193" i="194"/>
  <c r="D194" i="194"/>
  <c r="D195" i="194"/>
  <c r="D179" i="194"/>
  <c r="D178" i="194"/>
  <c r="D180" i="194"/>
  <c r="D181" i="194"/>
  <c r="D196" i="194"/>
  <c r="D197" i="194"/>
  <c r="D198" i="194"/>
  <c r="D199" i="194"/>
  <c r="D200" i="194"/>
  <c r="D201" i="194"/>
  <c r="D202" i="194"/>
  <c r="D203" i="194"/>
  <c r="D204" i="194"/>
  <c r="D205" i="194"/>
  <c r="D206" i="194"/>
  <c r="D207" i="194"/>
  <c r="D208" i="194"/>
  <c r="D209" i="194"/>
  <c r="D210" i="194"/>
  <c r="D211" i="194"/>
  <c r="D212" i="194"/>
  <c r="D213" i="194"/>
  <c r="D214" i="194"/>
  <c r="D215" i="194"/>
  <c r="D216" i="194"/>
  <c r="D217" i="194"/>
  <c r="D218" i="194"/>
  <c r="D219" i="194"/>
  <c r="D220" i="194"/>
  <c r="D221" i="194"/>
  <c r="D222" i="194"/>
  <c r="D223" i="194"/>
  <c r="D224" i="194"/>
  <c r="D225" i="194"/>
  <c r="D226" i="194"/>
  <c r="D227" i="194"/>
  <c r="D228" i="194"/>
  <c r="D229" i="194"/>
  <c r="D230" i="194"/>
  <c r="D231" i="194"/>
  <c r="D232" i="194"/>
  <c r="D233" i="194"/>
  <c r="D234" i="194"/>
  <c r="D235" i="194"/>
  <c r="D236" i="194"/>
  <c r="D237" i="194"/>
  <c r="D238" i="194"/>
  <c r="D239" i="194"/>
  <c r="D240" i="194"/>
  <c r="D241" i="194"/>
  <c r="D242" i="194"/>
  <c r="D243" i="194"/>
  <c r="D244" i="194"/>
  <c r="D245" i="194"/>
  <c r="D246" i="194"/>
  <c r="D247" i="194"/>
  <c r="D248" i="194"/>
  <c r="D249" i="194"/>
  <c r="D250" i="194"/>
  <c r="D251" i="194"/>
  <c r="D252" i="194"/>
  <c r="D253" i="194"/>
  <c r="D254" i="194"/>
  <c r="D255" i="194"/>
  <c r="D256" i="194"/>
  <c r="D2" i="194"/>
  <c r="I11" i="192" s="1"/>
  <c r="D21" i="189" l="1"/>
  <c r="E21" i="189" s="1"/>
  <c r="C21" i="189"/>
  <c r="V7" i="199"/>
  <c r="T6" i="199"/>
  <c r="B42" i="188" s="1"/>
  <c r="U6" i="199"/>
  <c r="C42" i="188" s="1"/>
  <c r="O7" i="199"/>
  <c r="V8" i="199"/>
  <c r="Q8" i="199"/>
  <c r="T7" i="199"/>
  <c r="W4" i="199"/>
  <c r="N4" i="199"/>
  <c r="O8" i="199"/>
  <c r="V9" i="199"/>
  <c r="Q9" i="199"/>
  <c r="T8" i="199"/>
  <c r="P6" i="199"/>
  <c r="D38" i="188" s="1"/>
  <c r="W5" i="199"/>
  <c r="N5" i="199"/>
  <c r="O9" i="199"/>
  <c r="V10" i="199"/>
  <c r="D77" i="188" s="1"/>
  <c r="Q10" i="199"/>
  <c r="T9" i="199"/>
  <c r="P7" i="199"/>
  <c r="W6" i="199"/>
  <c r="E42" i="188" s="1"/>
  <c r="Q4" i="199"/>
  <c r="N10" i="199"/>
  <c r="Q7" i="199"/>
  <c r="P4" i="199"/>
  <c r="U5" i="199"/>
  <c r="P5" i="199"/>
  <c r="N6" i="199"/>
  <c r="B38" i="188" s="1"/>
  <c r="U10" i="199"/>
  <c r="C77" i="188" s="1"/>
  <c r="U4" i="199"/>
  <c r="O5" i="199"/>
  <c r="T10" i="199"/>
  <c r="B77" i="188" s="1"/>
  <c r="P8" i="199"/>
  <c r="W7" i="199"/>
  <c r="N7" i="199"/>
  <c r="V4" i="199"/>
  <c r="U9" i="199"/>
  <c r="O6" i="199"/>
  <c r="C38" i="188" s="1"/>
  <c r="U7" i="199"/>
  <c r="P9" i="199"/>
  <c r="W8" i="199"/>
  <c r="N8" i="199"/>
  <c r="V5" i="199"/>
  <c r="Q5" i="199"/>
  <c r="T4" i="199"/>
  <c r="U8" i="199"/>
  <c r="P10" i="199"/>
  <c r="W9" i="199"/>
  <c r="N9" i="199"/>
  <c r="V6" i="199"/>
  <c r="D42" i="188" s="1"/>
  <c r="Q6" i="199"/>
  <c r="E38" i="188" s="1"/>
  <c r="T5" i="199"/>
  <c r="O10" i="199"/>
  <c r="O4" i="199"/>
  <c r="H5" i="194"/>
  <c r="E108" i="194" s="1"/>
  <c r="H11" i="194"/>
  <c r="E96" i="194" s="1"/>
  <c r="H8" i="194"/>
  <c r="E179" i="194" s="1"/>
  <c r="H9" i="194"/>
  <c r="E160" i="194" s="1"/>
  <c r="H7" i="194"/>
  <c r="E8" i="194" s="1"/>
  <c r="H4" i="194"/>
  <c r="E256" i="194" s="1"/>
  <c r="H3" i="194"/>
  <c r="E204" i="194" s="1"/>
  <c r="E47" i="194"/>
  <c r="E31" i="194"/>
  <c r="H12" i="194"/>
  <c r="E91" i="194" s="1"/>
  <c r="H2" i="194"/>
  <c r="E32" i="194" s="1"/>
  <c r="E237" i="194"/>
  <c r="E225" i="194"/>
  <c r="E213" i="194"/>
  <c r="E193" i="194"/>
  <c r="E121" i="194"/>
  <c r="E101" i="194"/>
  <c r="E69" i="194"/>
  <c r="E37" i="194"/>
  <c r="E29" i="194"/>
  <c r="H6" i="194"/>
  <c r="E102" i="194" s="1"/>
  <c r="H10" i="194"/>
  <c r="E230" i="194" s="1"/>
  <c r="D49" i="196"/>
  <c r="J24" i="196"/>
  <c r="J25" i="196"/>
  <c r="J26" i="196"/>
  <c r="J27" i="196"/>
  <c r="J28" i="196"/>
  <c r="J29" i="196"/>
  <c r="D24" i="196"/>
  <c r="D25" i="196"/>
  <c r="D26" i="196"/>
  <c r="D27" i="196"/>
  <c r="D28" i="196"/>
  <c r="D29" i="196"/>
  <c r="J4" i="196"/>
  <c r="J5" i="196"/>
  <c r="J6" i="196"/>
  <c r="J7" i="196"/>
  <c r="J8" i="196"/>
  <c r="J9" i="196"/>
  <c r="J10" i="196"/>
  <c r="J11" i="196"/>
  <c r="J12" i="196"/>
  <c r="J13" i="196"/>
  <c r="C13" i="196"/>
  <c r="C12" i="196"/>
  <c r="C11" i="196"/>
  <c r="C10" i="196"/>
  <c r="C9" i="196"/>
  <c r="C8" i="196"/>
  <c r="C7" i="196"/>
  <c r="C6" i="196"/>
  <c r="C5" i="196"/>
  <c r="C4" i="196"/>
  <c r="E49" i="196"/>
  <c r="K24" i="196"/>
  <c r="K25" i="196"/>
  <c r="K26" i="196"/>
  <c r="K27" i="196"/>
  <c r="K28" i="196"/>
  <c r="K29" i="196"/>
  <c r="E24" i="196"/>
  <c r="E25" i="196"/>
  <c r="E26" i="196"/>
  <c r="E27" i="196"/>
  <c r="E28" i="196"/>
  <c r="E29" i="196"/>
  <c r="K4" i="196"/>
  <c r="K5" i="196"/>
  <c r="K6" i="196"/>
  <c r="K7" i="196"/>
  <c r="K8" i="196"/>
  <c r="K9" i="196"/>
  <c r="K10" i="196"/>
  <c r="K11" i="196"/>
  <c r="K12" i="196"/>
  <c r="K13" i="196"/>
  <c r="B13" i="196"/>
  <c r="B12" i="196"/>
  <c r="B11" i="196"/>
  <c r="B10" i="196"/>
  <c r="B9" i="196"/>
  <c r="B8" i="196"/>
  <c r="B7" i="196"/>
  <c r="B6" i="196"/>
  <c r="B5" i="196"/>
  <c r="B4" i="196"/>
  <c r="B49" i="196"/>
  <c r="H24" i="196"/>
  <c r="H25" i="196"/>
  <c r="H26" i="196"/>
  <c r="H27" i="196"/>
  <c r="H28" i="196"/>
  <c r="H29" i="196"/>
  <c r="B24" i="196"/>
  <c r="B25" i="196"/>
  <c r="B26" i="196"/>
  <c r="B27" i="196"/>
  <c r="B28" i="196"/>
  <c r="B29" i="196"/>
  <c r="H4" i="196"/>
  <c r="H5" i="196"/>
  <c r="H6" i="196"/>
  <c r="H7" i="196"/>
  <c r="H8" i="196"/>
  <c r="H9" i="196"/>
  <c r="I26" i="196"/>
  <c r="C24" i="196"/>
  <c r="C28" i="196"/>
  <c r="I6" i="196"/>
  <c r="H10" i="196"/>
  <c r="H12" i="196"/>
  <c r="E13" i="196"/>
  <c r="E11" i="196"/>
  <c r="E9" i="196"/>
  <c r="E7" i="196"/>
  <c r="E5" i="196"/>
  <c r="C49" i="196"/>
  <c r="I27" i="196"/>
  <c r="C25" i="196"/>
  <c r="C29" i="196"/>
  <c r="I7" i="196"/>
  <c r="I10" i="196"/>
  <c r="I12" i="196"/>
  <c r="D13" i="196"/>
  <c r="D11" i="196"/>
  <c r="D9" i="196"/>
  <c r="D7" i="196"/>
  <c r="D5" i="196"/>
  <c r="I24" i="196"/>
  <c r="I28" i="196"/>
  <c r="C26" i="196"/>
  <c r="I4" i="196"/>
  <c r="I8" i="196"/>
  <c r="H11" i="196"/>
  <c r="H13" i="196"/>
  <c r="E12" i="196"/>
  <c r="E10" i="196"/>
  <c r="E8" i="196"/>
  <c r="E6" i="196"/>
  <c r="E4" i="196"/>
  <c r="I25" i="196"/>
  <c r="I29" i="196"/>
  <c r="C27" i="196"/>
  <c r="I5" i="196"/>
  <c r="I9" i="196"/>
  <c r="I11" i="196"/>
  <c r="I13" i="196"/>
  <c r="D12" i="196"/>
  <c r="D10" i="196"/>
  <c r="D8" i="196"/>
  <c r="D6" i="196"/>
  <c r="D4" i="196"/>
  <c r="E186" i="194" l="1"/>
  <c r="E74" i="194"/>
  <c r="E209" i="194"/>
  <c r="E82" i="194"/>
  <c r="E173" i="194"/>
  <c r="E22" i="194"/>
  <c r="C83" i="188"/>
  <c r="B83" i="188"/>
  <c r="D73" i="188"/>
  <c r="C73" i="188"/>
  <c r="E73" i="188"/>
  <c r="P11" i="199"/>
  <c r="D37" i="188" s="1"/>
  <c r="O11" i="199"/>
  <c r="C37" i="188" s="1"/>
  <c r="T11" i="199"/>
  <c r="B41" i="188" s="1"/>
  <c r="N11" i="199"/>
  <c r="B37" i="188" s="1"/>
  <c r="V11" i="199"/>
  <c r="D41" i="188" s="1"/>
  <c r="Q11" i="199"/>
  <c r="E37" i="188" s="1"/>
  <c r="E89" i="194"/>
  <c r="E217" i="194"/>
  <c r="U11" i="199"/>
  <c r="C41" i="188" s="1"/>
  <c r="E83" i="188"/>
  <c r="B73" i="188"/>
  <c r="E13" i="194"/>
  <c r="E57" i="194"/>
  <c r="E105" i="194"/>
  <c r="W11" i="199"/>
  <c r="E41" i="188" s="1"/>
  <c r="D83" i="188"/>
  <c r="E94" i="194"/>
  <c r="E119" i="194"/>
  <c r="E114" i="194"/>
  <c r="E185" i="194"/>
  <c r="E135" i="194"/>
  <c r="E77" i="194"/>
  <c r="E113" i="194"/>
  <c r="E241" i="194"/>
  <c r="E39" i="194"/>
  <c r="E159" i="194"/>
  <c r="E46" i="194"/>
  <c r="E98" i="194"/>
  <c r="E246" i="194"/>
  <c r="E155" i="194"/>
  <c r="E52" i="194"/>
  <c r="E200" i="194"/>
  <c r="E251" i="194"/>
  <c r="E24" i="194"/>
  <c r="E133" i="194"/>
  <c r="E21" i="194"/>
  <c r="E149" i="194"/>
  <c r="E194" i="194"/>
  <c r="E99" i="194"/>
  <c r="E104" i="194"/>
  <c r="E137" i="194"/>
  <c r="E165" i="194"/>
  <c r="E201" i="194"/>
  <c r="E233" i="194"/>
  <c r="E87" i="194"/>
  <c r="E30" i="194"/>
  <c r="E58" i="194"/>
  <c r="E106" i="194"/>
  <c r="E126" i="194"/>
  <c r="E158" i="194"/>
  <c r="E234" i="194"/>
  <c r="E43" i="194"/>
  <c r="E131" i="194"/>
  <c r="E181" i="194"/>
  <c r="E148" i="194"/>
  <c r="E244" i="194"/>
  <c r="E255" i="194"/>
  <c r="E48" i="194"/>
  <c r="E143" i="194"/>
  <c r="E9" i="194"/>
  <c r="E25" i="194"/>
  <c r="E53" i="194"/>
  <c r="E73" i="194"/>
  <c r="E93" i="194"/>
  <c r="E117" i="194"/>
  <c r="E141" i="194"/>
  <c r="E169" i="194"/>
  <c r="E189" i="194"/>
  <c r="E205" i="194"/>
  <c r="E221" i="194"/>
  <c r="E2" i="194"/>
  <c r="E95" i="194"/>
  <c r="E151" i="194"/>
  <c r="E42" i="194"/>
  <c r="E70" i="194"/>
  <c r="E90" i="194"/>
  <c r="E110" i="194"/>
  <c r="E130" i="194"/>
  <c r="E170" i="194"/>
  <c r="E180" i="194"/>
  <c r="E242" i="194"/>
  <c r="E11" i="194"/>
  <c r="E67" i="194"/>
  <c r="E139" i="194"/>
  <c r="E235" i="194"/>
  <c r="E12" i="194"/>
  <c r="E60" i="194"/>
  <c r="E164" i="194"/>
  <c r="E252" i="194"/>
  <c r="E16" i="194"/>
  <c r="E72" i="194"/>
  <c r="E168" i="194"/>
  <c r="E138" i="194"/>
  <c r="E202" i="194"/>
  <c r="E84" i="194"/>
  <c r="E184" i="194"/>
  <c r="E207" i="194"/>
  <c r="E33" i="194"/>
  <c r="E65" i="194"/>
  <c r="E85" i="194"/>
  <c r="E153" i="194"/>
  <c r="E177" i="194"/>
  <c r="E197" i="194"/>
  <c r="E229" i="194"/>
  <c r="E249" i="194"/>
  <c r="E23" i="194"/>
  <c r="E55" i="194"/>
  <c r="E127" i="194"/>
  <c r="E187" i="194"/>
  <c r="E26" i="194"/>
  <c r="E54" i="194"/>
  <c r="E78" i="194"/>
  <c r="E122" i="194"/>
  <c r="E154" i="194"/>
  <c r="E190" i="194"/>
  <c r="E206" i="194"/>
  <c r="E250" i="194"/>
  <c r="E35" i="194"/>
  <c r="E107" i="194"/>
  <c r="E163" i="194"/>
  <c r="E4" i="194"/>
  <c r="E20" i="194"/>
  <c r="E116" i="194"/>
  <c r="E212" i="194"/>
  <c r="E239" i="194"/>
  <c r="E136" i="194"/>
  <c r="E232" i="194"/>
  <c r="E218" i="194"/>
  <c r="E227" i="194"/>
  <c r="E62" i="194"/>
  <c r="E142" i="194"/>
  <c r="E75" i="194"/>
  <c r="E171" i="194"/>
  <c r="E203" i="194"/>
  <c r="E28" i="194"/>
  <c r="E92" i="194"/>
  <c r="E156" i="194"/>
  <c r="E220" i="194"/>
  <c r="E247" i="194"/>
  <c r="E112" i="194"/>
  <c r="E240" i="194"/>
  <c r="E45" i="194"/>
  <c r="E61" i="194"/>
  <c r="E109" i="194"/>
  <c r="E125" i="194"/>
  <c r="E157" i="194"/>
  <c r="E253" i="194"/>
  <c r="E7" i="194"/>
  <c r="E71" i="194"/>
  <c r="E103" i="194"/>
  <c r="E167" i="194"/>
  <c r="E6" i="194"/>
  <c r="E18" i="194"/>
  <c r="E34" i="194"/>
  <c r="E50" i="194"/>
  <c r="E66" i="194"/>
  <c r="E146" i="194"/>
  <c r="E162" i="194"/>
  <c r="E182" i="194"/>
  <c r="E210" i="194"/>
  <c r="E226" i="194"/>
  <c r="E19" i="194"/>
  <c r="E51" i="194"/>
  <c r="E83" i="194"/>
  <c r="E115" i="194"/>
  <c r="E147" i="194"/>
  <c r="E183" i="194"/>
  <c r="E211" i="194"/>
  <c r="E243" i="194"/>
  <c r="E36" i="194"/>
  <c r="E68" i="194"/>
  <c r="E100" i="194"/>
  <c r="E132" i="194"/>
  <c r="E196" i="194"/>
  <c r="E228" i="194"/>
  <c r="E195" i="194"/>
  <c r="E223" i="194"/>
  <c r="E56" i="194"/>
  <c r="E88" i="194"/>
  <c r="E120" i="194"/>
  <c r="E152" i="194"/>
  <c r="E188" i="194"/>
  <c r="E216" i="194"/>
  <c r="E248" i="194"/>
  <c r="E245" i="194"/>
  <c r="E40" i="194"/>
  <c r="E41" i="194"/>
  <c r="E63" i="194"/>
  <c r="E15" i="194"/>
  <c r="E174" i="194"/>
  <c r="E222" i="194"/>
  <c r="E238" i="194"/>
  <c r="E254" i="194"/>
  <c r="E124" i="194"/>
  <c r="E192" i="194"/>
  <c r="E215" i="194"/>
  <c r="E80" i="194"/>
  <c r="E176" i="194"/>
  <c r="E208" i="194"/>
  <c r="E5" i="194"/>
  <c r="E17" i="194"/>
  <c r="E49" i="194"/>
  <c r="E81" i="194"/>
  <c r="E97" i="194"/>
  <c r="E129" i="194"/>
  <c r="E145" i="194"/>
  <c r="E161" i="194"/>
  <c r="E178" i="194"/>
  <c r="E14" i="194"/>
  <c r="E79" i="194"/>
  <c r="E111" i="194"/>
  <c r="E144" i="194"/>
  <c r="E175" i="194"/>
  <c r="E10" i="194"/>
  <c r="E38" i="194"/>
  <c r="E86" i="194"/>
  <c r="E118" i="194"/>
  <c r="E134" i="194"/>
  <c r="E150" i="194"/>
  <c r="E166" i="194"/>
  <c r="E198" i="194"/>
  <c r="E214" i="194"/>
  <c r="E3" i="194"/>
  <c r="E27" i="194"/>
  <c r="E59" i="194"/>
  <c r="E123" i="194"/>
  <c r="E191" i="194"/>
  <c r="E219" i="194"/>
  <c r="E44" i="194"/>
  <c r="E76" i="194"/>
  <c r="E140" i="194"/>
  <c r="E172" i="194"/>
  <c r="E236" i="194"/>
  <c r="E199" i="194"/>
  <c r="E231" i="194"/>
  <c r="E64" i="194"/>
  <c r="E128" i="194"/>
  <c r="E224" i="194"/>
  <c r="C14" i="196"/>
  <c r="I30" i="196"/>
  <c r="E30" i="196"/>
  <c r="D14" i="196"/>
  <c r="E14" i="196"/>
  <c r="I14" i="196"/>
  <c r="H14" i="196"/>
  <c r="H30" i="196"/>
  <c r="D30" i="196"/>
  <c r="C30" i="196"/>
  <c r="K14" i="196"/>
  <c r="K30" i="196"/>
  <c r="B30" i="196"/>
  <c r="B14" i="196"/>
  <c r="J14" i="196"/>
  <c r="J30" i="196"/>
  <c r="B14" i="171"/>
  <c r="C14" i="171"/>
  <c r="D14" i="171"/>
  <c r="E14" i="171"/>
  <c r="H14" i="171"/>
  <c r="I14" i="171"/>
  <c r="J14" i="171"/>
  <c r="K14" i="171"/>
  <c r="B30" i="171"/>
  <c r="C30" i="171"/>
  <c r="D30" i="171"/>
  <c r="E30" i="171"/>
  <c r="H30" i="171"/>
  <c r="I30" i="171"/>
  <c r="J30" i="171"/>
  <c r="K30" i="171"/>
  <c r="B42" i="171"/>
  <c r="C42" i="171"/>
  <c r="D42" i="171"/>
  <c r="E42" i="171"/>
  <c r="H42" i="171"/>
  <c r="I42" i="171"/>
  <c r="J42" i="171"/>
  <c r="K42" i="171"/>
  <c r="I12" i="192" l="1"/>
  <c r="K29" i="199" s="1"/>
  <c r="K28" i="199"/>
  <c r="K26" i="199"/>
  <c r="E18" i="189" s="1"/>
  <c r="K24" i="199"/>
  <c r="J28" i="199"/>
  <c r="J26" i="199"/>
  <c r="D18" i="189" s="1"/>
  <c r="J24" i="199"/>
  <c r="I28" i="199"/>
  <c r="I26" i="199"/>
  <c r="C18" i="189" s="1"/>
  <c r="I24" i="199"/>
  <c r="H29" i="199"/>
  <c r="H27" i="199"/>
  <c r="H25" i="199"/>
  <c r="C24" i="199"/>
  <c r="C26" i="199"/>
  <c r="C28" i="199"/>
  <c r="D49" i="199"/>
  <c r="D5" i="190" s="1"/>
  <c r="D7" i="190" s="1"/>
  <c r="E25" i="199"/>
  <c r="E29" i="199"/>
  <c r="D24" i="199"/>
  <c r="D25" i="199"/>
  <c r="D26" i="199"/>
  <c r="D27" i="199"/>
  <c r="D28" i="199"/>
  <c r="D29" i="199"/>
  <c r="C49" i="199"/>
  <c r="C5" i="190" s="1"/>
  <c r="C7" i="190" s="1"/>
  <c r="E26" i="199"/>
  <c r="E28" i="199"/>
  <c r="B25" i="199"/>
  <c r="B26" i="199"/>
  <c r="B27" i="199"/>
  <c r="B28" i="199"/>
  <c r="B29" i="199"/>
  <c r="E49" i="199"/>
  <c r="E5" i="190" s="1"/>
  <c r="E7" i="190" s="1"/>
  <c r="E24" i="199"/>
  <c r="E27" i="199"/>
  <c r="B49" i="199"/>
  <c r="B5" i="190" s="1"/>
  <c r="B7" i="190" s="1"/>
  <c r="I13" i="199"/>
  <c r="C13" i="199"/>
  <c r="I12" i="199"/>
  <c r="C12" i="199"/>
  <c r="I11" i="199"/>
  <c r="C11" i="199"/>
  <c r="I10" i="199"/>
  <c r="C10" i="199"/>
  <c r="I9" i="199"/>
  <c r="C9" i="199"/>
  <c r="I8" i="199"/>
  <c r="C8" i="199"/>
  <c r="I7" i="199"/>
  <c r="C7" i="199"/>
  <c r="I6" i="199"/>
  <c r="C6" i="199"/>
  <c r="I5" i="199"/>
  <c r="C59" i="188" s="1"/>
  <c r="C5" i="199"/>
  <c r="I4" i="199"/>
  <c r="C4" i="199"/>
  <c r="H13" i="199"/>
  <c r="B13" i="199"/>
  <c r="H12" i="199"/>
  <c r="B12" i="199"/>
  <c r="H11" i="199"/>
  <c r="B11" i="199"/>
  <c r="H10" i="199"/>
  <c r="B10" i="199"/>
  <c r="H9" i="199"/>
  <c r="B9" i="199"/>
  <c r="H8" i="199"/>
  <c r="B8" i="199"/>
  <c r="H7" i="199"/>
  <c r="B7" i="199"/>
  <c r="H6" i="199"/>
  <c r="B6" i="199"/>
  <c r="H5" i="199"/>
  <c r="B59" i="188" s="1"/>
  <c r="B5" i="199"/>
  <c r="H4" i="199"/>
  <c r="B4" i="199"/>
  <c r="K13" i="199"/>
  <c r="E13" i="199"/>
  <c r="K12" i="199"/>
  <c r="E12" i="199"/>
  <c r="K11" i="199"/>
  <c r="E11" i="199"/>
  <c r="K10" i="199"/>
  <c r="E10" i="199"/>
  <c r="K9" i="199"/>
  <c r="E9" i="199"/>
  <c r="K8" i="199"/>
  <c r="E8" i="199"/>
  <c r="K7" i="199"/>
  <c r="E7" i="199"/>
  <c r="K6" i="199"/>
  <c r="E6" i="199"/>
  <c r="K5" i="199"/>
  <c r="E59" i="188" s="1"/>
  <c r="E5" i="199"/>
  <c r="K4" i="199"/>
  <c r="E4" i="199"/>
  <c r="J13" i="199"/>
  <c r="D13" i="199"/>
  <c r="J12" i="199"/>
  <c r="D12" i="199"/>
  <c r="J11" i="199"/>
  <c r="D11" i="199"/>
  <c r="J10" i="199"/>
  <c r="D10" i="199"/>
  <c r="J9" i="199"/>
  <c r="D9" i="199"/>
  <c r="J8" i="199"/>
  <c r="D8" i="199"/>
  <c r="J7" i="199"/>
  <c r="D7" i="199"/>
  <c r="J6" i="199"/>
  <c r="D6" i="199"/>
  <c r="J5" i="199"/>
  <c r="D59" i="188" s="1"/>
  <c r="D5" i="199"/>
  <c r="J4" i="199"/>
  <c r="D4" i="199"/>
  <c r="C29" i="199" l="1"/>
  <c r="C25" i="199"/>
  <c r="H26" i="199"/>
  <c r="B18" i="189" s="1"/>
  <c r="B24" i="199"/>
  <c r="I27" i="199"/>
  <c r="J25" i="199"/>
  <c r="J29" i="199"/>
  <c r="J30" i="199" s="1"/>
  <c r="K27" i="199"/>
  <c r="C27" i="199"/>
  <c r="H24" i="199"/>
  <c r="H28" i="199"/>
  <c r="B23" i="189" s="1"/>
  <c r="I25" i="199"/>
  <c r="I29" i="199"/>
  <c r="J27" i="199"/>
  <c r="K25" i="199"/>
  <c r="K30" i="199" s="1"/>
  <c r="D23" i="189"/>
  <c r="B55" i="188"/>
  <c r="B56" i="188" s="1"/>
  <c r="B65" i="188"/>
  <c r="C65" i="188"/>
  <c r="D25" i="188"/>
  <c r="E25" i="188"/>
  <c r="B25" i="188"/>
  <c r="C25" i="188"/>
  <c r="I14" i="199"/>
  <c r="C26" i="188" s="1"/>
  <c r="C55" i="188"/>
  <c r="C56" i="188" s="1"/>
  <c r="D62" i="188"/>
  <c r="D27" i="188"/>
  <c r="E62" i="188"/>
  <c r="E27" i="188"/>
  <c r="E14" i="199"/>
  <c r="E24" i="188" s="1"/>
  <c r="I30" i="199"/>
  <c r="B62" i="188"/>
  <c r="B27" i="188"/>
  <c r="C62" i="188"/>
  <c r="C27" i="188"/>
  <c r="E30" i="199"/>
  <c r="C23" i="189"/>
  <c r="D55" i="188"/>
  <c r="D56" i="188" s="1"/>
  <c r="D65" i="188"/>
  <c r="K14" i="199"/>
  <c r="E26" i="188" s="1"/>
  <c r="E55" i="188"/>
  <c r="E56" i="188" s="1"/>
  <c r="E65" i="188"/>
  <c r="C14" i="199"/>
  <c r="C24" i="188" s="1"/>
  <c r="H14" i="199"/>
  <c r="B26" i="188" s="1"/>
  <c r="J14" i="199"/>
  <c r="D26" i="188" s="1"/>
  <c r="D14" i="199"/>
  <c r="D24" i="188" s="1"/>
  <c r="B14" i="199"/>
  <c r="B24" i="188" s="1"/>
  <c r="D30" i="199"/>
  <c r="B30" i="199"/>
  <c r="C30" i="199"/>
  <c r="O34" i="193"/>
  <c r="T35" i="193"/>
  <c r="T36" i="193"/>
  <c r="T37" i="193"/>
  <c r="T38" i="193"/>
  <c r="T39" i="193"/>
  <c r="T40" i="193"/>
  <c r="T41" i="193"/>
  <c r="T42" i="193"/>
  <c r="T43" i="193"/>
  <c r="T44" i="193"/>
  <c r="T45" i="193"/>
  <c r="T46" i="193"/>
  <c r="T47" i="193"/>
  <c r="T34" i="193"/>
  <c r="T24" i="193"/>
  <c r="B29" i="188"/>
  <c r="O26" i="193" s="1"/>
  <c r="J33" i="193"/>
  <c r="K33" i="193"/>
  <c r="L33" i="193"/>
  <c r="I33" i="193"/>
  <c r="T29" i="193"/>
  <c r="T28" i="193"/>
  <c r="T27" i="193"/>
  <c r="T26" i="193"/>
  <c r="T25" i="193"/>
  <c r="T23" i="193"/>
  <c r="T22" i="193"/>
  <c r="T21" i="193"/>
  <c r="H30" i="199" l="1"/>
  <c r="E23" i="189"/>
  <c r="E24" i="189" s="1"/>
  <c r="B24" i="189"/>
  <c r="D24" i="189"/>
  <c r="C24" i="189"/>
  <c r="O40" i="193"/>
  <c r="I20" i="193"/>
  <c r="J20" i="193"/>
  <c r="K20" i="193"/>
  <c r="L20" i="193"/>
  <c r="I26" i="193"/>
  <c r="J26" i="193"/>
  <c r="K26" i="193"/>
  <c r="L26" i="193"/>
  <c r="F16" i="193"/>
  <c r="R21" i="193" s="1"/>
  <c r="E16" i="193"/>
  <c r="Q21" i="193" s="1"/>
  <c r="D16" i="193"/>
  <c r="P21" i="193" s="1"/>
  <c r="C16" i="193"/>
  <c r="O21" i="193" s="1"/>
  <c r="L16" i="193"/>
  <c r="K16" i="193"/>
  <c r="J16" i="193"/>
  <c r="I16" i="193"/>
  <c r="R14" i="193"/>
  <c r="Q14" i="193"/>
  <c r="P14" i="193"/>
  <c r="O14" i="193"/>
  <c r="R12" i="193"/>
  <c r="R45" i="193" s="1"/>
  <c r="Q12" i="193"/>
  <c r="Q45" i="193" s="1"/>
  <c r="P12" i="193"/>
  <c r="P45" i="193" s="1"/>
  <c r="O12" i="193"/>
  <c r="O45" i="193" s="1"/>
  <c r="R11" i="193"/>
  <c r="R35" i="193" s="1"/>
  <c r="R36" i="193" s="1"/>
  <c r="Q11" i="193"/>
  <c r="Q35" i="193" s="1"/>
  <c r="Q36" i="193" s="1"/>
  <c r="P11" i="193"/>
  <c r="P35" i="193" s="1"/>
  <c r="P36" i="193" s="1"/>
  <c r="O11" i="193"/>
  <c r="O35" i="193" s="1"/>
  <c r="O36" i="193" s="1"/>
  <c r="R10" i="193"/>
  <c r="Q10" i="193"/>
  <c r="P10" i="193"/>
  <c r="O10" i="193"/>
  <c r="O8" i="193"/>
  <c r="P8" i="193"/>
  <c r="Q8" i="193"/>
  <c r="R8" i="193"/>
  <c r="Q42" i="193" l="1"/>
  <c r="Q24" i="193"/>
  <c r="R42" i="193"/>
  <c r="R24" i="193"/>
  <c r="O42" i="193"/>
  <c r="O24" i="193"/>
  <c r="P42" i="193"/>
  <c r="P24" i="193"/>
  <c r="O43" i="193"/>
  <c r="O37" i="193"/>
  <c r="O46" i="193"/>
  <c r="Q16" i="193"/>
  <c r="P16" i="193"/>
  <c r="P23" i="193" s="1"/>
  <c r="O16" i="193"/>
  <c r="R16" i="193"/>
  <c r="R23" i="193" s="1"/>
  <c r="E19" i="189"/>
  <c r="E20" i="189" s="1"/>
  <c r="Q23" i="193" l="1"/>
  <c r="Q25" i="193" s="1"/>
  <c r="Q27" i="193" s="1"/>
  <c r="O23" i="193"/>
  <c r="O25" i="193" s="1"/>
  <c r="O27" i="193" s="1"/>
  <c r="R25" i="193"/>
  <c r="R27" i="193" s="1"/>
  <c r="P25" i="193"/>
  <c r="P27" i="193" s="1"/>
  <c r="J24" i="193"/>
  <c r="K24" i="193"/>
  <c r="L24" i="193"/>
  <c r="I24" i="193"/>
  <c r="J22" i="193"/>
  <c r="K22" i="193"/>
  <c r="L22" i="193"/>
  <c r="I22" i="193"/>
  <c r="J42" i="193" l="1"/>
  <c r="K42" i="193"/>
  <c r="L42" i="193"/>
  <c r="J45" i="193"/>
  <c r="K45" i="193"/>
  <c r="L45" i="193"/>
  <c r="I45" i="193"/>
  <c r="B31" i="188"/>
  <c r="D16" i="186"/>
  <c r="B21" i="185"/>
  <c r="E25" i="189" s="1"/>
  <c r="E26" i="189" s="1"/>
  <c r="B8" i="190" l="1"/>
  <c r="B9" i="190" s="1"/>
  <c r="C31" i="188"/>
  <c r="K36" i="193"/>
  <c r="K35" i="193"/>
  <c r="J35" i="193"/>
  <c r="J36" i="193"/>
  <c r="I36" i="193"/>
  <c r="I35" i="193"/>
  <c r="I42" i="193"/>
  <c r="L35" i="193"/>
  <c r="L36" i="193"/>
  <c r="O28" i="193"/>
  <c r="I28" i="193"/>
  <c r="O21" i="189"/>
  <c r="B19" i="189"/>
  <c r="B20" i="189" s="1"/>
  <c r="J39" i="193"/>
  <c r="K39" i="193"/>
  <c r="L39" i="193"/>
  <c r="I39" i="193"/>
  <c r="B54" i="188"/>
  <c r="B63" i="188" s="1"/>
  <c r="I43" i="193" s="1"/>
  <c r="D31" i="188" l="1"/>
  <c r="C8" i="190"/>
  <c r="C9" i="190" s="1"/>
  <c r="P28" i="193"/>
  <c r="P29" i="193" s="1"/>
  <c r="P34" i="193" s="1"/>
  <c r="J28" i="193"/>
  <c r="B22" i="189"/>
  <c r="O29" i="193"/>
  <c r="O41" i="193"/>
  <c r="O47" i="193"/>
  <c r="O38" i="193"/>
  <c r="O44" i="193"/>
  <c r="B66" i="188"/>
  <c r="I46" i="193" s="1"/>
  <c r="I34" i="193"/>
  <c r="B64" i="188"/>
  <c r="I44" i="193" s="1"/>
  <c r="B57" i="188"/>
  <c r="B58" i="188" s="1"/>
  <c r="B60" i="188"/>
  <c r="C19" i="189"/>
  <c r="C20" i="189" s="1"/>
  <c r="E27" i="189"/>
  <c r="E22" i="189"/>
  <c r="J21" i="193"/>
  <c r="K21" i="193"/>
  <c r="L21" i="193"/>
  <c r="J23" i="193"/>
  <c r="K23" i="193"/>
  <c r="I23" i="193"/>
  <c r="I21" i="193"/>
  <c r="K41" i="186"/>
  <c r="B22" i="186" s="1"/>
  <c r="P37" i="193" l="1"/>
  <c r="P38" i="193" s="1"/>
  <c r="P40" i="193"/>
  <c r="P41" i="193" s="1"/>
  <c r="P46" i="193"/>
  <c r="P47" i="193" s="1"/>
  <c r="P43" i="193"/>
  <c r="P44" i="193" s="1"/>
  <c r="E31" i="188"/>
  <c r="D8" i="190"/>
  <c r="D9" i="190" s="1"/>
  <c r="K28" i="193"/>
  <c r="Q28" i="193"/>
  <c r="Q29" i="193" s="1"/>
  <c r="Q34" i="193" s="1"/>
  <c r="D19" i="189"/>
  <c r="D20" i="189" s="1"/>
  <c r="B48" i="188"/>
  <c r="C22" i="189"/>
  <c r="B61" i="188"/>
  <c r="I41" i="193" s="1"/>
  <c r="I40" i="193"/>
  <c r="I38" i="193"/>
  <c r="I37" i="193"/>
  <c r="B67" i="188"/>
  <c r="I47" i="193" s="1"/>
  <c r="B28" i="188"/>
  <c r="B30" i="188" s="1"/>
  <c r="D28" i="188"/>
  <c r="C28" i="188"/>
  <c r="C30" i="188" s="1"/>
  <c r="B18" i="186"/>
  <c r="L28" i="186"/>
  <c r="H40" i="186"/>
  <c r="H39" i="186"/>
  <c r="H38" i="186"/>
  <c r="H37" i="186"/>
  <c r="H36" i="186"/>
  <c r="H35" i="186"/>
  <c r="H34" i="186"/>
  <c r="H33" i="186"/>
  <c r="H32" i="186"/>
  <c r="H31" i="186"/>
  <c r="H30" i="186"/>
  <c r="H29" i="186"/>
  <c r="H28" i="186"/>
  <c r="H27" i="186"/>
  <c r="B36" i="185"/>
  <c r="B38" i="185" s="1"/>
  <c r="B18" i="185"/>
  <c r="B20" i="185" s="1"/>
  <c r="Q37" i="193" l="1"/>
  <c r="Q38" i="193" s="1"/>
  <c r="Q43" i="193"/>
  <c r="Q44" i="193" s="1"/>
  <c r="Q40" i="193"/>
  <c r="Q41" i="193" s="1"/>
  <c r="Q46" i="193"/>
  <c r="Q47" i="193" s="1"/>
  <c r="I27" i="186"/>
  <c r="J27" i="186" s="1"/>
  <c r="B45" i="186"/>
  <c r="E8" i="190"/>
  <c r="E9" i="190" s="1"/>
  <c r="R28" i="193"/>
  <c r="R29" i="193" s="1"/>
  <c r="R34" i="193" s="1"/>
  <c r="L28" i="193"/>
  <c r="O31" i="188"/>
  <c r="D22" i="189"/>
  <c r="C48" i="188"/>
  <c r="D48" i="188" s="1"/>
  <c r="E48" i="188" s="1"/>
  <c r="O48" i="188" s="1"/>
  <c r="J25" i="193"/>
  <c r="D30" i="188"/>
  <c r="K25" i="193"/>
  <c r="I25" i="193"/>
  <c r="B22" i="185"/>
  <c r="B23" i="185"/>
  <c r="B25" i="185" s="1"/>
  <c r="L37" i="186"/>
  <c r="L31" i="186"/>
  <c r="I30" i="186"/>
  <c r="J30" i="186" s="1"/>
  <c r="I34" i="186"/>
  <c r="J34" i="186" s="1"/>
  <c r="I38" i="186"/>
  <c r="J38" i="186" s="1"/>
  <c r="L27" i="186"/>
  <c r="L35" i="186"/>
  <c r="L30" i="186"/>
  <c r="I28" i="186"/>
  <c r="J28" i="186" s="1"/>
  <c r="I31" i="186"/>
  <c r="J31" i="186" s="1"/>
  <c r="I35" i="186"/>
  <c r="J35" i="186" s="1"/>
  <c r="I39" i="186"/>
  <c r="J39" i="186" s="1"/>
  <c r="L39" i="186"/>
  <c r="L34" i="186"/>
  <c r="L29" i="186"/>
  <c r="L38" i="186"/>
  <c r="L33" i="186"/>
  <c r="I37" i="186"/>
  <c r="J37" i="186" s="1"/>
  <c r="I33" i="186"/>
  <c r="J33" i="186" s="1"/>
  <c r="I29" i="186"/>
  <c r="J29" i="186" s="1"/>
  <c r="I40" i="186"/>
  <c r="J40" i="186" s="1"/>
  <c r="I36" i="186"/>
  <c r="J36" i="186" s="1"/>
  <c r="I32" i="186"/>
  <c r="J32" i="186" s="1"/>
  <c r="L40" i="186"/>
  <c r="L36" i="186"/>
  <c r="L32" i="186"/>
  <c r="K42" i="34"/>
  <c r="J42" i="34"/>
  <c r="I42" i="34"/>
  <c r="H42" i="34"/>
  <c r="E42" i="34"/>
  <c r="E49" i="34" s="1"/>
  <c r="D42" i="34"/>
  <c r="D49" i="34" s="1"/>
  <c r="C42" i="34"/>
  <c r="C49" i="34" s="1"/>
  <c r="B42" i="34"/>
  <c r="B49" i="34" s="1"/>
  <c r="K30" i="34"/>
  <c r="J30" i="34"/>
  <c r="I30" i="34"/>
  <c r="H30" i="34"/>
  <c r="E30" i="34"/>
  <c r="D30" i="34"/>
  <c r="C30" i="34"/>
  <c r="B30" i="34"/>
  <c r="K14" i="34"/>
  <c r="J14" i="34"/>
  <c r="I14" i="34"/>
  <c r="H14" i="34"/>
  <c r="E14" i="34"/>
  <c r="D14" i="34"/>
  <c r="C14" i="34"/>
  <c r="B14" i="34"/>
  <c r="R37" i="193" l="1"/>
  <c r="R38" i="193" s="1"/>
  <c r="R40" i="193"/>
  <c r="R41" i="193" s="1"/>
  <c r="R46" i="193"/>
  <c r="R47" i="193" s="1"/>
  <c r="R43" i="193"/>
  <c r="R44" i="193" s="1"/>
  <c r="L41" i="186"/>
  <c r="B24" i="186" s="1"/>
  <c r="B43" i="186" s="1"/>
  <c r="V4" i="196"/>
  <c r="V5" i="196"/>
  <c r="V6" i="196"/>
  <c r="V7" i="196"/>
  <c r="V8" i="196"/>
  <c r="V9" i="196"/>
  <c r="V10" i="196"/>
  <c r="P4" i="196"/>
  <c r="P5" i="196"/>
  <c r="P6" i="196"/>
  <c r="P7" i="196"/>
  <c r="P8" i="196"/>
  <c r="P9" i="196"/>
  <c r="P10" i="196"/>
  <c r="U4" i="196"/>
  <c r="U5" i="196"/>
  <c r="U6" i="196"/>
  <c r="U7" i="196"/>
  <c r="U8" i="196"/>
  <c r="U9" i="196"/>
  <c r="U10" i="196"/>
  <c r="O4" i="196"/>
  <c r="O5" i="196"/>
  <c r="O6" i="196"/>
  <c r="O7" i="196"/>
  <c r="O8" i="196"/>
  <c r="O9" i="196"/>
  <c r="O10" i="196"/>
  <c r="W4" i="196"/>
  <c r="W5" i="196"/>
  <c r="W6" i="196"/>
  <c r="W7" i="196"/>
  <c r="W8" i="196"/>
  <c r="W9" i="196"/>
  <c r="W10" i="196"/>
  <c r="Q4" i="196"/>
  <c r="Q5" i="196"/>
  <c r="Q6" i="196"/>
  <c r="E39" i="188" s="1"/>
  <c r="E40" i="188" s="1"/>
  <c r="Q7" i="196"/>
  <c r="Q8" i="196"/>
  <c r="Q9" i="196"/>
  <c r="Q10" i="196"/>
  <c r="T4" i="196"/>
  <c r="T5" i="196"/>
  <c r="T6" i="196"/>
  <c r="T7" i="196"/>
  <c r="T8" i="196"/>
  <c r="T9" i="196"/>
  <c r="T10" i="196"/>
  <c r="N4" i="196"/>
  <c r="N5" i="196"/>
  <c r="N6" i="196"/>
  <c r="B39" i="188" s="1"/>
  <c r="N7" i="196"/>
  <c r="N8" i="196"/>
  <c r="N9" i="196"/>
  <c r="N10" i="196"/>
  <c r="E28" i="188"/>
  <c r="E30" i="188" s="1"/>
  <c r="L23" i="193"/>
  <c r="D32" i="188"/>
  <c r="K27" i="193"/>
  <c r="B32" i="188"/>
  <c r="I29" i="193" s="1"/>
  <c r="I27" i="193"/>
  <c r="C32" i="188"/>
  <c r="J27" i="193"/>
  <c r="B26" i="185"/>
  <c r="B4" i="186" l="1"/>
  <c r="B72" i="188"/>
  <c r="B78" i="188" s="1"/>
  <c r="B79" i="188" s="1"/>
  <c r="B46" i="188"/>
  <c r="B43" i="188"/>
  <c r="B40" i="188"/>
  <c r="C39" i="188"/>
  <c r="T11" i="196"/>
  <c r="B74" i="188"/>
  <c r="Q11" i="196"/>
  <c r="C74" i="188"/>
  <c r="U11" i="196"/>
  <c r="P11" i="196"/>
  <c r="E74" i="188"/>
  <c r="W11" i="196"/>
  <c r="O11" i="196"/>
  <c r="N11" i="196"/>
  <c r="V11" i="196"/>
  <c r="D74" i="188"/>
  <c r="B25" i="189"/>
  <c r="B5" i="185"/>
  <c r="C54" i="188"/>
  <c r="J29" i="193"/>
  <c r="D54" i="188"/>
  <c r="K29" i="193"/>
  <c r="L25" i="193"/>
  <c r="B26" i="189" l="1"/>
  <c r="B27" i="189" s="1"/>
  <c r="B84" i="188"/>
  <c r="B85" i="188" s="1"/>
  <c r="E43" i="188"/>
  <c r="E44" i="188" s="1"/>
  <c r="E45" i="188" s="1"/>
  <c r="E47" i="188" s="1"/>
  <c r="E49" i="188" s="1"/>
  <c r="E72" i="188" s="1"/>
  <c r="C40" i="188"/>
  <c r="D39" i="188"/>
  <c r="B44" i="188"/>
  <c r="B45" i="188" s="1"/>
  <c r="B47" i="188" s="1"/>
  <c r="B49" i="188" s="1"/>
  <c r="B80" i="188"/>
  <c r="B81" i="188" s="1"/>
  <c r="B82" i="188" s="1"/>
  <c r="B75" i="188"/>
  <c r="B76" i="188" s="1"/>
  <c r="C25" i="189"/>
  <c r="K34" i="193"/>
  <c r="D63" i="188"/>
  <c r="K43" i="193" s="1"/>
  <c r="C63" i="188"/>
  <c r="J43" i="193" s="1"/>
  <c r="J34" i="193"/>
  <c r="D57" i="188"/>
  <c r="C57" i="188"/>
  <c r="D66" i="188"/>
  <c r="D60" i="188"/>
  <c r="L27" i="193"/>
  <c r="E32" i="188"/>
  <c r="C66" i="188"/>
  <c r="C60" i="188"/>
  <c r="D25" i="189" l="1"/>
  <c r="C26" i="189"/>
  <c r="C27" i="189" s="1"/>
  <c r="C43" i="188"/>
  <c r="C80" i="188" s="1"/>
  <c r="E84" i="188"/>
  <c r="E85" i="188" s="1"/>
  <c r="E78" i="188"/>
  <c r="E79" i="188" s="1"/>
  <c r="E75" i="188"/>
  <c r="E76" i="188" s="1"/>
  <c r="E80" i="188"/>
  <c r="E81" i="188" s="1"/>
  <c r="E82" i="188" s="1"/>
  <c r="D40" i="188"/>
  <c r="D64" i="188"/>
  <c r="K44" i="193" s="1"/>
  <c r="D61" i="188"/>
  <c r="K41" i="193" s="1"/>
  <c r="K40" i="193"/>
  <c r="D58" i="188"/>
  <c r="K38" i="193" s="1"/>
  <c r="K37" i="193"/>
  <c r="D67" i="188"/>
  <c r="K47" i="193" s="1"/>
  <c r="K46" i="193"/>
  <c r="C58" i="188"/>
  <c r="J38" i="193" s="1"/>
  <c r="J37" i="193"/>
  <c r="C61" i="188"/>
  <c r="J41" i="193" s="1"/>
  <c r="J40" i="193"/>
  <c r="C67" i="188"/>
  <c r="J47" i="193" s="1"/>
  <c r="J46" i="193"/>
  <c r="C64" i="188"/>
  <c r="J44" i="193" s="1"/>
  <c r="E54" i="188"/>
  <c r="L29" i="193"/>
  <c r="D26" i="189" l="1"/>
  <c r="D27" i="189" s="1"/>
  <c r="O24" i="186"/>
  <c r="D43" i="188"/>
  <c r="D44" i="188" s="1"/>
  <c r="D45" i="188" s="1"/>
  <c r="D47" i="188" s="1"/>
  <c r="D49" i="188" s="1"/>
  <c r="D72" i="188" s="1"/>
  <c r="C44" i="188"/>
  <c r="C45" i="188" s="1"/>
  <c r="C47" i="188" s="1"/>
  <c r="C49" i="188" s="1"/>
  <c r="C72" i="188" s="1"/>
  <c r="C81" i="188" s="1"/>
  <c r="C82" i="188" s="1"/>
  <c r="E63" i="188"/>
  <c r="L43" i="193" s="1"/>
  <c r="L34" i="193"/>
  <c r="E57" i="188"/>
  <c r="E60" i="188"/>
  <c r="E66" i="188"/>
  <c r="D80" i="188" l="1"/>
  <c r="C78" i="188"/>
  <c r="C79" i="188" s="1"/>
  <c r="C75" i="188"/>
  <c r="C76" i="188" s="1"/>
  <c r="C84" i="188"/>
  <c r="C85" i="188" s="1"/>
  <c r="D81" i="188"/>
  <c r="D82" i="188" s="1"/>
  <c r="D78" i="188"/>
  <c r="D79" i="188" s="1"/>
  <c r="D84" i="188"/>
  <c r="D85" i="188" s="1"/>
  <c r="D75" i="188"/>
  <c r="D76" i="188" s="1"/>
  <c r="E64" i="188"/>
  <c r="L44" i="193" s="1"/>
  <c r="E58" i="188"/>
  <c r="L37" i="193"/>
  <c r="E67" i="188"/>
  <c r="L47" i="193" s="1"/>
  <c r="L46" i="193"/>
  <c r="E61" i="188"/>
  <c r="L41" i="193" s="1"/>
  <c r="L40" i="193"/>
  <c r="L38" i="193" l="1"/>
  <c r="O10" i="186"/>
</calcChain>
</file>

<file path=xl/comments1.xml><?xml version="1.0" encoding="utf-8"?>
<comments xmlns="http://schemas.openxmlformats.org/spreadsheetml/2006/main">
  <authors>
    <author>Woodward, John</author>
  </authors>
  <commentList>
    <comment ref="I41" authorId="0" shapeId="0">
      <text>
        <r>
          <rPr>
            <sz val="9"/>
            <color indexed="81"/>
            <rFont val="Tahoma"/>
            <family val="2"/>
          </rPr>
          <t xml:space="preserve">
This is the approximate total heat energy consumption of the Commercial sector as a whole in Vermont, in millions of Btu.
</t>
        </r>
      </text>
    </comment>
  </commentList>
</comments>
</file>

<file path=xl/sharedStrings.xml><?xml version="1.0" encoding="utf-8"?>
<sst xmlns="http://schemas.openxmlformats.org/spreadsheetml/2006/main" count="1659" uniqueCount="573">
  <si>
    <t>Branches</t>
  </si>
  <si>
    <t>Biodistillates</t>
  </si>
  <si>
    <t>-</t>
  </si>
  <si>
    <t>Cord Wood</t>
  </si>
  <si>
    <t>Electric Resistance</t>
  </si>
  <si>
    <t>Heat Pump</t>
  </si>
  <si>
    <t>Heat Pump Water Heater</t>
  </si>
  <si>
    <t>Kerosene</t>
  </si>
  <si>
    <t>LPG</t>
  </si>
  <si>
    <t>Natural Gas</t>
  </si>
  <si>
    <t>Oil</t>
  </si>
  <si>
    <t>Wood pellets</t>
  </si>
  <si>
    <t>Total</t>
  </si>
  <si>
    <t>Biofuel</t>
  </si>
  <si>
    <t>Distillate Fuel Oil</t>
  </si>
  <si>
    <t>Electric Use</t>
  </si>
  <si>
    <t>Residual Fuel Oil</t>
  </si>
  <si>
    <t>Wood and wood waste consumption</t>
  </si>
  <si>
    <t>Biodiesel</t>
  </si>
  <si>
    <t>CNG</t>
  </si>
  <si>
    <t>Diesel</t>
  </si>
  <si>
    <t>Gasoline</t>
  </si>
  <si>
    <t>Ethanol</t>
  </si>
  <si>
    <t>Electricity</t>
  </si>
  <si>
    <t>Hydrogen</t>
  </si>
  <si>
    <t xml:space="preserve"> 1) Reference Scenario Total Regional Residential Heating Consumption Thousand MMBTUs</t>
  </si>
  <si>
    <t>Electric Appliances</t>
  </si>
  <si>
    <t>Electric Kitchen Range</t>
  </si>
  <si>
    <t>Electric Lighting</t>
  </si>
  <si>
    <t>Misc Electric</t>
  </si>
  <si>
    <t xml:space="preserve"> 2) 90x50 Scenario Total Regional Residential Heating Consumption Thousand MMBTUs</t>
  </si>
  <si>
    <t xml:space="preserve"> 3) Reference Scenario Total Regional Commercial Consumption Thousand MMBTUs</t>
  </si>
  <si>
    <t xml:space="preserve"> 4) 90x50 Scenario Total Regional Commercial Consumption Thousand MMBTUs</t>
  </si>
  <si>
    <t xml:space="preserve"> 5) Reference Scenario Total Regional Light Duty Vehicle Consumption Million MMBTUs</t>
  </si>
  <si>
    <t xml:space="preserve"> 6) 90x50 Scenario Total Regional Light Duty Vehicle Consumption Million MMBTUs</t>
  </si>
  <si>
    <t xml:space="preserve"> 7) Reference Scenario Total Regional Heavy Duty Vehicle Consumption Thousand MMBTUs</t>
  </si>
  <si>
    <t xml:space="preserve"> 8) 90x50 Scenario Total Regional Heavy Duty Vehicle Consumption Thousand MMBTUs</t>
  </si>
  <si>
    <t>Reference Scenario Electric Consumption by Branch</t>
  </si>
  <si>
    <t>90x50 Scenario Electric Consumption by Branch</t>
  </si>
  <si>
    <t>Electric CDs etc</t>
  </si>
  <si>
    <t>Plug Load</t>
  </si>
  <si>
    <t>Cooling</t>
  </si>
  <si>
    <t xml:space="preserve"> 9) 90 % Renewable by 2050 vs Reference Residential Non-Thermal Electric Consumption, Million MWh</t>
  </si>
  <si>
    <t>This formula converts the inputs above into an estimate of the number of gallons of fossil fuel consumed annualy in the area for LDV transportation</t>
  </si>
  <si>
    <t>51. Information</t>
  </si>
  <si>
    <t>81. Other services, except public administration</t>
  </si>
  <si>
    <t>42. Wholesale trade</t>
  </si>
  <si>
    <t>44-45. Retail trade</t>
  </si>
  <si>
    <t>48-49. Transportation and warehousing</t>
  </si>
  <si>
    <t>52. Finance and insurance</t>
  </si>
  <si>
    <t>53. Real estate and rental and leasing</t>
  </si>
  <si>
    <t>54. Professional and technical services</t>
  </si>
  <si>
    <t>55. Management of companies and enterprises</t>
  </si>
  <si>
    <t>56. Administrative and waste services</t>
  </si>
  <si>
    <t>61. Educational services</t>
  </si>
  <si>
    <t>62. Health care and social assistance</t>
  </si>
  <si>
    <t>71. Arts, entertainment, and recreation</t>
  </si>
  <si>
    <t>72. Accommodation and food services</t>
  </si>
  <si>
    <t>between 1,600 and 1,900</t>
  </si>
  <si>
    <t>NAICS Code</t>
  </si>
  <si>
    <t>Refer to:</t>
  </si>
  <si>
    <t>for  counts of vehicles associated with area housing units</t>
  </si>
  <si>
    <t>Note:</t>
  </si>
  <si>
    <t>It is not necessary to distinguish between diesel and gasoline burning vehicles.</t>
  </si>
  <si>
    <t>Census website</t>
  </si>
  <si>
    <t xml:space="preserve">VT Dept of Motor Vehicles </t>
  </si>
  <si>
    <t>This formula converts the number of fossil fuel gallons computed above into its equivalent amount of Btu, in millions</t>
  </si>
  <si>
    <t xml:space="preserve">This formula computes an estimate of the number of gallons of ethanol consumed annually from the values inputted above. </t>
  </si>
  <si>
    <t>This is the number of Btu in a gallon of ethanol</t>
  </si>
  <si>
    <t>This formula converts the number of ethanol gallons computed above into its equivalent amount of Btu, in millions</t>
  </si>
  <si>
    <t>Internal Combustion Engine (ICE) Transportation</t>
  </si>
  <si>
    <t>This is the estimated total annual energy consumption of ICE vehicles in the area, in millions of Btu</t>
  </si>
  <si>
    <t>This formula computes an estimate of the the number of kWh consumed annually by EVs in the area from the values inputed  above</t>
  </si>
  <si>
    <t xml:space="preserve">This formula computes an estimate of the number of gallons of fossil fuel consumed annually from the values inputted above. </t>
  </si>
  <si>
    <t>This is the approximate average fuel economy of electric vehicles today, in miles per kWh</t>
  </si>
  <si>
    <t>This formula converts the volume of kWh computed above into its equivalent amount of Btu, in millions</t>
  </si>
  <si>
    <t>Note that the share of consumption attributable to electric vehicles in any given area today will be very small. It is nonetheless important for Planners to take stock of local electric vehicle usage.</t>
  </si>
  <si>
    <t>Electric Powered Transportation (EV)</t>
  </si>
  <si>
    <t xml:space="preserve">Enter an estimate of the average annual number of miles travelled by EVs in the area. Currently this is likely to be less than the average VMT by ICE vehicles but it is also reasonable to assume it is equivalent. </t>
  </si>
  <si>
    <t>Enter an estimate of the total number of residential buildings in the area</t>
  </si>
  <si>
    <t>Residential building heat energy consumption</t>
  </si>
  <si>
    <t>for a count of occupied housing units</t>
  </si>
  <si>
    <t>Commercial building heat energy consumption</t>
  </si>
  <si>
    <t>Percent of residences in the state that were built before 1930. All else equal, a higher percentage than this in your area will likely be associated with higher average area heating loads (and vice versa).</t>
  </si>
  <si>
    <t>Percentage of residences in the State with 6 rooms or more. All else equal, a higher percentage than this in your area will likely be associated with higher average area heating loads (and vice versa).</t>
  </si>
  <si>
    <t>Approximate percentage of residences in the State with 4 bedrooms or more. All else equal, a higher percentage than this in your area will likely be associated with higher average area heating loads (and vice versa).</t>
  </si>
  <si>
    <t xml:space="preserve">Department estimate of the average square footage of conditioned residential space in the state. All else equal, higher average residence sizes than this will be associated with higher average area heat loads (and vice versa).   </t>
  </si>
  <si>
    <t>Number of people per household in State. All else equal, a higher number than this will likely be associated with higher average area heating loads (and vice versa).</t>
  </si>
  <si>
    <t>VT DOL website</t>
  </si>
  <si>
    <t>for a count of commercial establishments in the area</t>
  </si>
  <si>
    <t>This is the estimated total heat energy consumption of Residential buildings in the area, in millions of Btu</t>
  </si>
  <si>
    <t>This is the estimated total annual energy heat consumption for Residential and Commercial buildings in the area, in millions of Btu. It is produced from the calculation steps below which depend on assumptions inputted into each of the colored cells</t>
  </si>
  <si>
    <t xml:space="preserve">Refer to: </t>
  </si>
  <si>
    <t>Public Service Department estimate of the percentage of residences in the State that have been weatherized throughout the 2000s. All else equal, a higher percentage than this in your area will likely be associated with lower average area heating loads (and vice versa).</t>
  </si>
  <si>
    <t>Number of Empl. in State</t>
  </si>
  <si>
    <t xml:space="preserve">Number of Bldgs. in State </t>
  </si>
  <si>
    <t xml:space="preserve">This is an adjustment made to compensate for the superior efficiency of heat pump technology compared to combustion based heating technology. </t>
  </si>
  <si>
    <t>Total consumption of electricity by Commercial building in Reference Scenario, in millions of Btu</t>
  </si>
  <si>
    <t>Total consumption of electricity by Commercial building in 90x50 Scenario, in millions of Btu</t>
  </si>
  <si>
    <t xml:space="preserve">Btu reduction in Heat Pump electricity consumption through weatherization can be matched with </t>
  </si>
  <si>
    <t>Exhange rates for making adjustments to Tables 2 and 4</t>
  </si>
  <si>
    <t>Exhange rates for making adjustments to Table 6</t>
  </si>
  <si>
    <t>Btu addition in biofuel-powered transportation</t>
  </si>
  <si>
    <t>Btu addition in biofuel-powered transportation should be matched with</t>
  </si>
  <si>
    <t xml:space="preserve">Btu reduction in electric-powered transportation should be matched with </t>
  </si>
  <si>
    <t xml:space="preserve">Btu reduction in electric-powered transportation </t>
  </si>
  <si>
    <t>This formula computes an estimated number of area LDVs powered by electricity in the 90x50 scenario, based on user inputs in the "1.Current Trans" tab</t>
  </si>
  <si>
    <t>This formula computes an estimated number of area LDVs powered by biofuel blends in the 90x50 scenario, based on user inputs entered in the "1.Current Trans" tab</t>
  </si>
  <si>
    <t>This formula computes an estimated number of area LDVs powered by biofuel blends in the 90x50 scenario, based on user inputs in the "1.Current Trans" tab</t>
  </si>
  <si>
    <t>This is a projection of the average area residential heating load, in millions of Btu, computed based on values inputted above and in the "1.Current Heat" tab</t>
  </si>
  <si>
    <t>Total biofuel-blended heat energy consumed by Residences in 90x50 Scenario, in millions of Btu (taken from Table 2)</t>
  </si>
  <si>
    <t>This formula computes an estimate the number of residences using biofuel-blended heat energy in the 90x50 scenario based on values inputted in the "1.Current Heat" tab.</t>
  </si>
  <si>
    <t>Total wood heat energy consumed by area residences in 90x50 Scenario, in millions of Btu (taken from Table 2)</t>
  </si>
  <si>
    <t>Total heat pump  energy consumed by area residences in 90x50 Scenario, in millions of Btu (taken from Table 2)</t>
  </si>
  <si>
    <t>This formula computes the estimated share of area residences using Heat Pumps in the 90x50 scenario based on values inputted above and in the "1.Current Heat" tab.</t>
  </si>
  <si>
    <t>Total fossil heat energy consumed by Residences in 90x50 Scenario, in millions of Btu (taken from Table 2)</t>
  </si>
  <si>
    <t>This formula computes the estimated share of area residences using fossil heat in the 90x50 scenario based on values inputted above and in the "1.Current Heat" tab.</t>
  </si>
  <si>
    <t xml:space="preserve">Btu reduction in consumption of combustible fuel through weatherization can be matched with </t>
  </si>
  <si>
    <t>Interpreting the scale of residential weatherization, post-adjustment</t>
  </si>
  <si>
    <t>Interpreting the scale of residential weatherization, pre-adjustment</t>
  </si>
  <si>
    <t>Interpreting the scale of Residential weatherization in the LEAP scenario</t>
  </si>
  <si>
    <t>Interpreting the scale of Commercial weatherization in the LEAP scenario</t>
  </si>
  <si>
    <t>Total heat energy consumed by Residential buildings in the Reference Scenario, in millions of Btu (taken from Table 1)</t>
  </si>
  <si>
    <t>Total heat energy consumed by Residential buildings in 90x50 Scenario, in millions of Btu (taken from Table 2)</t>
  </si>
  <si>
    <t xml:space="preserve">Enter an estimate of the typical amount of heat energy that will be saved through future Residential weatherization investments, in millions of Btu. Historically, savings of 20 to 30 per cent are typical.   </t>
  </si>
  <si>
    <t xml:space="preserve">This formula computes a projection of the number of area residences weatherized, based on the value inputed above. It will be higher or lower depending on the assumption of "typical" weatherization savings. </t>
  </si>
  <si>
    <t>Enter a projection of the number of future residences in the area by each year.</t>
  </si>
  <si>
    <t>Enter an estimate of the typical amount of energy saved through a Commercial weatherization investment, in millions of Btu. Historically, savings of 20 to 30 per cent are typical.</t>
  </si>
  <si>
    <t xml:space="preserve">This formula computes a projection of the number of area businesses weatherized, based on the value inputed above. It will be higher or lower depending on the assumption of "typical" weatherization savings. </t>
  </si>
  <si>
    <t>Interpreting the scale of Residential fuel-switching in the LEAP scenario</t>
  </si>
  <si>
    <t xml:space="preserve">This formula computes the estimated share of area residences using biofuel blends in the 90x50 scenario based on values inputted above and in the "1.Current Heat" tab. If Planners find that this percentage is too high or low for the area, adjustments can be made to Table 2 using the exchange rates above. See the "Heat Exchange" tab for an example of how to make such adjustments. </t>
  </si>
  <si>
    <t>This formula computes the estimated share of area residences using Wood heat  in the 90x50 scenario, based on values inputted in the "1.Current Heat" tab.</t>
  </si>
  <si>
    <t>Interpreting the scale of Commercial fuel-switching in the LEAP scenario</t>
  </si>
  <si>
    <t>Total biofuel-blended heat energy consumed by Businesses in 90x50 Scenario, in millions of Btu (taken from Table 4)</t>
  </si>
  <si>
    <t>This is a projection of the average area  business heating load, in millions of Btu, computed based on values inputted above and in the "1.Current Heat" tab</t>
  </si>
  <si>
    <t>This formula computes an estimate the number of businesses using biofuel-blended heat energy in the 90x50 scenario based on values inputted in the "1.Current Heat" tab.</t>
  </si>
  <si>
    <t>This formula computes the biofuel share of biofuel-blended heat consumed by Commercial buildings in the 90x50 scenario.</t>
  </si>
  <si>
    <t>This formula computes the biofuel share of biofuel-blended heat consumed by Residences in the 90x50 scenario.</t>
  </si>
  <si>
    <t>Total wood heat energy consumed by area businesses in 90x50 Scenario, in millions of Btu (taken from Table 4)</t>
  </si>
  <si>
    <t>This formula computes an estimate of the number of area businesses using Wood heat energy in the 90x50 scenario based on values inputted above and in the "1.Current Heat" tab.</t>
  </si>
  <si>
    <t>This formula computes an estimate of the number of area residences using Wood heat energy in the 90x50 scenario based on values inputted above and in the "1.Current Heat" tab.</t>
  </si>
  <si>
    <t>This formula computes the estimated share of area businesses using Wood heat  in the 90x50 scenario, based on values inputted in the "1.Current Heat" tab.</t>
  </si>
  <si>
    <t>Department estimate of Commercial consumption of heat pump electricity, in millions of Btu</t>
  </si>
  <si>
    <t>This formula computes an estimate the number of area businesses using Heat Pumps in the 90x50 scenario based on values inputted in the "1.Current Heat" tab. It assumes moderately increasing equipment efficiencies.</t>
  </si>
  <si>
    <t>This formula computes the estimated share of area businesses using Heat Pumps in the 90x50 scenario based on values inputted above and in the "1.Current Heat" tab.</t>
  </si>
  <si>
    <t>Total fossil heat energy consumed by area businesses in 90x50 Scenario, in millions of Btu (taken from Table 4)</t>
  </si>
  <si>
    <t>This formula computes the estimates number of area residences using fossil heat in the 90x50 scenario based on values inputted in the "1.Current Heat" tab.</t>
  </si>
  <si>
    <t>This formula computes the estimates number of area businesses using fossil heat in the 90x50 scenario based on values inputted in the "1.Current Heat" tab.</t>
  </si>
  <si>
    <t>This formula computes the estimated share of area businesses using fossil heat in the 90x50 scenario based on values inputted above and in the "1.Current Heat" tab.</t>
  </si>
  <si>
    <t>Total heat energy saved through weatherization of Commercial buildings</t>
  </si>
  <si>
    <t>Exhanging more weatherization for less fuel switching</t>
  </si>
  <si>
    <t>Exchanging consumption of one renewable fuel for another</t>
  </si>
  <si>
    <t>Interpreting the scale of LDV fuel-switching in the LEAP scenario</t>
  </si>
  <si>
    <t>weatherization</t>
  </si>
  <si>
    <t>fuel-switching</t>
  </si>
  <si>
    <t>targets for:</t>
  </si>
  <si>
    <t>electric efficiency</t>
  </si>
  <si>
    <t xml:space="preserve">All cells requiring Planner inputs are formatted like this: </t>
  </si>
  <si>
    <t>Interpreting the scale of Residential fuel-switching, pre-adjustment</t>
  </si>
  <si>
    <t>Interpreting the scale of Residential fuel-switching, post-adjustment</t>
  </si>
  <si>
    <t xml:space="preserve">Btu reduction in consumption of Wood heat can be matched with a </t>
  </si>
  <si>
    <t>Btu reduction in consumption of Heat Pump electricity can be matched with a</t>
  </si>
  <si>
    <t>Btu addition in consumption of Heat Pump electricity, and vice versa</t>
  </si>
  <si>
    <t>Btu reduction in consumption of biofuel, and vice versa</t>
  </si>
  <si>
    <t>Btu addition in consumption of Biofuel heat, and vice versa</t>
  </si>
  <si>
    <t>Btu increase in consumption of Wood or Biofuel heat consumption, and vice versa</t>
  </si>
  <si>
    <t>Btu reduction in fuel switching toward Heat Pump electricity, and vice versa</t>
  </si>
  <si>
    <t xml:space="preserve">Btu reduction in consumption of either Wood or Biofuel heat can be matched with a </t>
  </si>
  <si>
    <t>Exchanging one combustible renewable fuel for another</t>
  </si>
  <si>
    <t>Exchanging consumption of combustible renewable fuels for electricity</t>
  </si>
  <si>
    <t xml:space="preserve">for counts of individual vehicles registered in area, by type. Data will have to be specifically requested from the DMV. </t>
  </si>
  <si>
    <t>This is the percentage of all registered vehicles in Vermont that were manufactured after 2000. All else equal, if this percentage is higher for your area than for the State, the average fuel economy in the area will be lower than the State average of 22.</t>
  </si>
  <si>
    <t>This is the percentage of all trips  in Vermont taken in either trucks, SUVs or vans. All else equal, if this percentage is higher for your area than for the State, the average fuel economy in the area will be lower than the State average of 22.</t>
  </si>
  <si>
    <t>This is the approximate percentage of all registered vehicles in Vermont that are trucks or SUVs. All else equal, if this percentage is higher for your area than for the State, the average fuel economy in the area will be lower than the State average of 22.</t>
  </si>
  <si>
    <t>This is the number of Btu in a gallon of fossil fuel, computed as a weighted average of the individual heat contents of gasoline (95%) and diesel (5%).</t>
  </si>
  <si>
    <t>Drive Electric</t>
  </si>
  <si>
    <t>This is the number of Btu in a kWh of electricity at the point of use a.k.a site energy. Note that all electricity numbers in the LEAP scenario are reported as site energy.</t>
  </si>
  <si>
    <t>Total heat energy saved through weatherization of Residential buildings, in millions of Btu</t>
  </si>
  <si>
    <t>This is an adjustment that must be made to account for the superior efficiency of heat pump technology compared to combustion based heating technology. It assumes moderate increases in equipment efficiency</t>
  </si>
  <si>
    <t>Total non-electric energy consumed by Commercial buildings in Reference Scenario, in millions of Btu</t>
  </si>
  <si>
    <t>This formula computes an estimate the number of area residences using Heat Pumps in the 90x50 scenario based on values inputted in the "1.Current Heat" tab. It assumes moderate increases in equipment efficiency</t>
  </si>
  <si>
    <t xml:space="preserve">This formula computes the estimated share of area businesses using biofuel blends in the 90x50 scenario based on values inputted above and in the "1.Current Heat" tab. If Planners find that this percentage is too high or low for the area, adjustments can be made to Table 2 using the exchange rates above. See the "Exchange Example" tab for an example of how to make such adjustments. </t>
  </si>
  <si>
    <t xml:space="preserve">This formula computes the estimated share of area businesses weatherized by each year based on the values inputed above.  If Planners would like to increase the percentage of weatherized businesses,  adjustments can be made to Table 4 using the exchange rates above. See the "Exchange Example" tab for an example of how to make such adjustments. </t>
  </si>
  <si>
    <t xml:space="preserve">This formula computes the estimated percentage of area residences weatherized by each year based on the values inputed above and on the "1.Current Heat" tab.  If Planners would like to increase the percentage of weatherized residences, adjustments can be made to Table 2 using the exchange rates above. See the "Exchange Example" tab for an example of how to make such adjustments. </t>
  </si>
  <si>
    <t xml:space="preserve"> 9) 90 % Renewable by 2050 vs Reference Residential Non-Thermal Electric Consumption, Thousand MWh</t>
  </si>
  <si>
    <t>This formula computes an estimate of the number of area residences with upgraded electrical equipment by each year</t>
  </si>
  <si>
    <t xml:space="preserve">Total electric energy saved from improvements in area residential equipment efficiency, in kWh </t>
  </si>
  <si>
    <t>Enter a projection of the number of area residential customers. This should be consistent with the number of residences projected in the "2.Heat Targets" tab. Note there are generally more utility customers than households.</t>
  </si>
  <si>
    <t>This formula computes the estimated share of area residences that are saving the amount of kWh entered above. It can be assumed that the share of commercial businesses with upgraded equipment is comparable.</t>
  </si>
  <si>
    <t xml:space="preserve">Enter a projection of the total number of future LDVs in the area by each year. This should be consistent with projections of population and households. </t>
  </si>
  <si>
    <t>This is a projection of the average annual energy consumption of an EV, in millions of Btu. It assumes the current average number of VMT (as entered in "1.Current Trans") and a gradual increase in EV fuel economy from 3 kwh per mile to 4 kWh per mile by 2050.</t>
  </si>
  <si>
    <t>This formula computes the share of area LDVs powered by electricity in the 90x50 scenario, based on the projection entered above and user inputs in the "1.Current Trans" tab. If Planners find that this percentage of EVs is inappropriate for the area, adjustments can be made to the 90x50 Scenario results using the exchange rates above.</t>
  </si>
  <si>
    <t>This formula computes the biofuel share of biofuel-blended LDV transportation energy consumed  in the 90x50 scenario.</t>
  </si>
  <si>
    <t>This is a projection of the average annual energy consumption of LDVs using biofuel blends, in millions of Btu.  It assumes the current average number of VMT (as entered in "1.Current Trans") and a gradual increase in fuel economy to 40 MPG by 2050.</t>
  </si>
  <si>
    <t>Enter a projection of the total number of Commercial establishments in the area by 2050</t>
  </si>
  <si>
    <t xml:space="preserve">This is a Department estimate of the portion of Commercial electricity consumption attributable to Heat Pumps in the Reference Scenario, in millions of Btu. It assumes that the heat pump share of electricity consumption rises to 2% by 2050. </t>
  </si>
  <si>
    <t>This is an adjustment made to compensate for the superior efficiency of heat pump technology compared to combustion based heating technology. It assumes moderate increases in equipment efficiency over time i.e. coefficient of performance</t>
  </si>
  <si>
    <t>Total non-electric energy consumed by commercial buildings in 90x50 Scenario, in millions of Btu</t>
  </si>
  <si>
    <r>
      <t xml:space="preserve"> 5) Reference Scenario Total Regional Light Duty Vehicle Consumption </t>
    </r>
    <r>
      <rPr>
        <sz val="11"/>
        <color rgb="FFFF0000"/>
        <rFont val="Calibri"/>
        <family val="2"/>
        <scheme val="minor"/>
      </rPr>
      <t>Million</t>
    </r>
    <r>
      <rPr>
        <sz val="11"/>
        <color theme="1"/>
        <rFont val="Calibri"/>
        <family val="2"/>
        <scheme val="minor"/>
      </rPr>
      <t xml:space="preserve"> MMBTUs</t>
    </r>
  </si>
  <si>
    <r>
      <t xml:space="preserve"> 6) 90x50 Scenario Total Regional Light Duty Vehicle Consumption </t>
    </r>
    <r>
      <rPr>
        <sz val="11"/>
        <color rgb="FFFF0000"/>
        <rFont val="Calibri"/>
        <family val="2"/>
        <scheme val="minor"/>
      </rPr>
      <t>Million</t>
    </r>
    <r>
      <rPr>
        <sz val="11"/>
        <color theme="1"/>
        <rFont val="Calibri"/>
        <family val="2"/>
        <scheme val="minor"/>
      </rPr>
      <t xml:space="preserve"> MMBTUs</t>
    </r>
  </si>
  <si>
    <t>Addison</t>
  </si>
  <si>
    <t>Addison County Regional Planning Commission</t>
  </si>
  <si>
    <t>Albany</t>
  </si>
  <si>
    <t>Northeastern Vermont Development Association</t>
  </si>
  <si>
    <t>Alburgh</t>
  </si>
  <si>
    <t>Northwest Regional Planning Commission</t>
  </si>
  <si>
    <t>Andover</t>
  </si>
  <si>
    <t>Southern Windsor County Regional Planning Commission</t>
  </si>
  <si>
    <t>Arlington</t>
  </si>
  <si>
    <t>Bennington County Regional Commission</t>
  </si>
  <si>
    <t>Athens</t>
  </si>
  <si>
    <t>Windham Regional Commission</t>
  </si>
  <si>
    <t>Averill</t>
  </si>
  <si>
    <t>Averys Gore</t>
  </si>
  <si>
    <t>Bakersfield</t>
  </si>
  <si>
    <t>Baltimore</t>
  </si>
  <si>
    <t>Barnard</t>
  </si>
  <si>
    <t>Two Rivers-Ottauquechee Regional Commission</t>
  </si>
  <si>
    <t>Barnet</t>
  </si>
  <si>
    <t>Barre City</t>
  </si>
  <si>
    <t>Central Vermont Regional Planning Commission</t>
  </si>
  <si>
    <t>Barre</t>
  </si>
  <si>
    <t>Barton</t>
  </si>
  <si>
    <t>Belvidere</t>
  </si>
  <si>
    <t>Lamoille County Planning Commission</t>
  </si>
  <si>
    <t>Bennington</t>
  </si>
  <si>
    <t>Benson</t>
  </si>
  <si>
    <t>Rutland Regional Planning Commission</t>
  </si>
  <si>
    <t>Berkshire</t>
  </si>
  <si>
    <t>Berlin</t>
  </si>
  <si>
    <t>Bethel</t>
  </si>
  <si>
    <t>Bloomfield</t>
  </si>
  <si>
    <t>Bolton</t>
  </si>
  <si>
    <t>Chittenden County Regional Planning Commission</t>
  </si>
  <si>
    <t>Bradford</t>
  </si>
  <si>
    <t>Braintree</t>
  </si>
  <si>
    <t>Brandon</t>
  </si>
  <si>
    <t>Brattleboro</t>
  </si>
  <si>
    <t>Bridgewater</t>
  </si>
  <si>
    <t>Bridport</t>
  </si>
  <si>
    <t>Brighton</t>
  </si>
  <si>
    <t>Bristol</t>
  </si>
  <si>
    <t>Brookfield</t>
  </si>
  <si>
    <t>Brookline</t>
  </si>
  <si>
    <t>Brownington</t>
  </si>
  <si>
    <t>Brunswick</t>
  </si>
  <si>
    <t>Buel's Gore</t>
  </si>
  <si>
    <t>Burke</t>
  </si>
  <si>
    <t>Burlington</t>
  </si>
  <si>
    <t>Cabot</t>
  </si>
  <si>
    <t>Calais</t>
  </si>
  <si>
    <t>Cambridge</t>
  </si>
  <si>
    <t>Canaan</t>
  </si>
  <si>
    <t>Castleton</t>
  </si>
  <si>
    <t>Cavendish</t>
  </si>
  <si>
    <t>Charleston</t>
  </si>
  <si>
    <t>Charlotte</t>
  </si>
  <si>
    <t>Chelsea</t>
  </si>
  <si>
    <t>Chester</t>
  </si>
  <si>
    <t>Chittenden</t>
  </si>
  <si>
    <t>Clarendon</t>
  </si>
  <si>
    <t>Colchester</t>
  </si>
  <si>
    <t>Concord</t>
  </si>
  <si>
    <t>Corinth</t>
  </si>
  <si>
    <t>Cornwall</t>
  </si>
  <si>
    <t>Coventry</t>
  </si>
  <si>
    <t>Craftsbury</t>
  </si>
  <si>
    <t>Danby</t>
  </si>
  <si>
    <t>Danville</t>
  </si>
  <si>
    <t>Derby</t>
  </si>
  <si>
    <t>Dorset</t>
  </si>
  <si>
    <t>Dover</t>
  </si>
  <si>
    <t>Dummerston</t>
  </si>
  <si>
    <t>Duxbury</t>
  </si>
  <si>
    <t>East Haven</t>
  </si>
  <si>
    <t>East Montpelier</t>
  </si>
  <si>
    <t>Eden</t>
  </si>
  <si>
    <t>Elmore</t>
  </si>
  <si>
    <t>Enosburg Falls</t>
  </si>
  <si>
    <t>Essex</t>
  </si>
  <si>
    <t>Fair Haven</t>
  </si>
  <si>
    <t>Fairfax</t>
  </si>
  <si>
    <t>Fairfield</t>
  </si>
  <si>
    <t>Fairlee</t>
  </si>
  <si>
    <t>Fayston</t>
  </si>
  <si>
    <t>Ferdinand</t>
  </si>
  <si>
    <t>Ferrisburgh</t>
  </si>
  <si>
    <t>Fletcher</t>
  </si>
  <si>
    <t>Franklin</t>
  </si>
  <si>
    <t>Georgia</t>
  </si>
  <si>
    <t>Glastenbury</t>
  </si>
  <si>
    <t>Glover</t>
  </si>
  <si>
    <t>Goshen</t>
  </si>
  <si>
    <t>Grafton</t>
  </si>
  <si>
    <t>Granby</t>
  </si>
  <si>
    <t>Grand Isle</t>
  </si>
  <si>
    <t>Granville</t>
  </si>
  <si>
    <t>Greensboro</t>
  </si>
  <si>
    <t>Groton</t>
  </si>
  <si>
    <t>Guildhall</t>
  </si>
  <si>
    <t>Guilford</t>
  </si>
  <si>
    <t>Halifax</t>
  </si>
  <si>
    <t>Hancock</t>
  </si>
  <si>
    <t>Hardwick</t>
  </si>
  <si>
    <t>Hartford</t>
  </si>
  <si>
    <t>Hartland</t>
  </si>
  <si>
    <t>Highgate</t>
  </si>
  <si>
    <t>Hinesburg</t>
  </si>
  <si>
    <t>Holland</t>
  </si>
  <si>
    <t>Hubbardton</t>
  </si>
  <si>
    <t>Huntington</t>
  </si>
  <si>
    <t>Hyde Park</t>
  </si>
  <si>
    <t>Ira</t>
  </si>
  <si>
    <t>Irasburg</t>
  </si>
  <si>
    <t>Isle La Motte</t>
  </si>
  <si>
    <t>Jamaica</t>
  </si>
  <si>
    <t>Jay</t>
  </si>
  <si>
    <t>Jericho</t>
  </si>
  <si>
    <t>Johnson</t>
  </si>
  <si>
    <t>Killington</t>
  </si>
  <si>
    <t>Kirby</t>
  </si>
  <si>
    <t>Landgrove</t>
  </si>
  <si>
    <t>Leicester</t>
  </si>
  <si>
    <t>Lemington</t>
  </si>
  <si>
    <t>Lewis</t>
  </si>
  <si>
    <t>Lincoln</t>
  </si>
  <si>
    <t>Londonderry</t>
  </si>
  <si>
    <t>Lowell</t>
  </si>
  <si>
    <t>Ludlow</t>
  </si>
  <si>
    <t>Lunenburg</t>
  </si>
  <si>
    <t>Lyndon</t>
  </si>
  <si>
    <t>Maidstone</t>
  </si>
  <si>
    <t>Manchester</t>
  </si>
  <si>
    <t>Marlboro</t>
  </si>
  <si>
    <t>Marshfield</t>
  </si>
  <si>
    <t>Mendon</t>
  </si>
  <si>
    <t>Middlebury</t>
  </si>
  <si>
    <t>Middlesex</t>
  </si>
  <si>
    <t>Middletown Springs</t>
  </si>
  <si>
    <t>Milton</t>
  </si>
  <si>
    <t>Monkton</t>
  </si>
  <si>
    <t>Montgomery</t>
  </si>
  <si>
    <t>Montpelier</t>
  </si>
  <si>
    <t>Moretown</t>
  </si>
  <si>
    <t>Morgan</t>
  </si>
  <si>
    <t>Morristown</t>
  </si>
  <si>
    <t>Mount Holly</t>
  </si>
  <si>
    <t>Mount Tabor</t>
  </si>
  <si>
    <t>New Haven</t>
  </si>
  <si>
    <t>Newark</t>
  </si>
  <si>
    <t>Newbury</t>
  </si>
  <si>
    <t>Newfane</t>
  </si>
  <si>
    <t>Newport City</t>
  </si>
  <si>
    <t>Newport</t>
  </si>
  <si>
    <t>North Hero</t>
  </si>
  <si>
    <t>Northfield</t>
  </si>
  <si>
    <t>Norton</t>
  </si>
  <si>
    <t>Norwich</t>
  </si>
  <si>
    <t>Orange</t>
  </si>
  <si>
    <t>Orwell</t>
  </si>
  <si>
    <t>Panton</t>
  </si>
  <si>
    <t>Pawlet</t>
  </si>
  <si>
    <t>Peacham</t>
  </si>
  <si>
    <t>Peru</t>
  </si>
  <si>
    <t>Pittsfield</t>
  </si>
  <si>
    <t>Pittsford</t>
  </si>
  <si>
    <t>Plainfield</t>
  </si>
  <si>
    <t>Plymouth</t>
  </si>
  <si>
    <t>Pomfret</t>
  </si>
  <si>
    <t>Poultney</t>
  </si>
  <si>
    <t>Pownal</t>
  </si>
  <si>
    <t>Proctor</t>
  </si>
  <si>
    <t>Putney</t>
  </si>
  <si>
    <t>Randolph</t>
  </si>
  <si>
    <t>Reading</t>
  </si>
  <si>
    <t>Readsboro</t>
  </si>
  <si>
    <t>Richford</t>
  </si>
  <si>
    <t>Richmond</t>
  </si>
  <si>
    <t>Ripton</t>
  </si>
  <si>
    <t>Rochester</t>
  </si>
  <si>
    <t>Rockingham</t>
  </si>
  <si>
    <t>Roxbury</t>
  </si>
  <si>
    <t>Royalton</t>
  </si>
  <si>
    <t>Rupert</t>
  </si>
  <si>
    <t>Rutland</t>
  </si>
  <si>
    <t>Rutland City</t>
  </si>
  <si>
    <t>Ryegate</t>
  </si>
  <si>
    <t>Salisbury</t>
  </si>
  <si>
    <t>Sandgate</t>
  </si>
  <si>
    <t>Searsburg</t>
  </si>
  <si>
    <t>Shaftsbury</t>
  </si>
  <si>
    <t>Sharon</t>
  </si>
  <si>
    <t>Sheffield</t>
  </si>
  <si>
    <t>Shelburne</t>
  </si>
  <si>
    <t>Sheldon</t>
  </si>
  <si>
    <t>Shoreham</t>
  </si>
  <si>
    <t>Shrewsbury</t>
  </si>
  <si>
    <t>Somerset</t>
  </si>
  <si>
    <t>South Burlington</t>
  </si>
  <si>
    <t>South Hero</t>
  </si>
  <si>
    <t>Springfield</t>
  </si>
  <si>
    <t>Saint Albans</t>
  </si>
  <si>
    <t>Saint George</t>
  </si>
  <si>
    <t>Saint Johnsbury</t>
  </si>
  <si>
    <t>Stamford</t>
  </si>
  <si>
    <t>Stannard</t>
  </si>
  <si>
    <t>Starksboro</t>
  </si>
  <si>
    <t>Stockbridge</t>
  </si>
  <si>
    <t>Stowe</t>
  </si>
  <si>
    <t>Strafford</t>
  </si>
  <si>
    <t>Stratton</t>
  </si>
  <si>
    <t>Sudbury</t>
  </si>
  <si>
    <t>Sunderland</t>
  </si>
  <si>
    <t>Sutton</t>
  </si>
  <si>
    <t>Swanton</t>
  </si>
  <si>
    <t>Thetford</t>
  </si>
  <si>
    <t>Tinmouth</t>
  </si>
  <si>
    <t>Topsham</t>
  </si>
  <si>
    <t>Townshend</t>
  </si>
  <si>
    <t>Troy</t>
  </si>
  <si>
    <t>Tunbridge</t>
  </si>
  <si>
    <t>Underhill</t>
  </si>
  <si>
    <t>Vergennes</t>
  </si>
  <si>
    <t>Vernon</t>
  </si>
  <si>
    <t>Vershire</t>
  </si>
  <si>
    <t>Victory</t>
  </si>
  <si>
    <t>Waitsfield</t>
  </si>
  <si>
    <t>Walden</t>
  </si>
  <si>
    <t>Wallingford</t>
  </si>
  <si>
    <t>Waltham</t>
  </si>
  <si>
    <t>Wardsboro</t>
  </si>
  <si>
    <t>Warners Grant</t>
  </si>
  <si>
    <t>Warren</t>
  </si>
  <si>
    <t>Warren Gore</t>
  </si>
  <si>
    <t>Washington</t>
  </si>
  <si>
    <t>Waterbury</t>
  </si>
  <si>
    <t>Waterford</t>
  </si>
  <si>
    <t>Waterville</t>
  </si>
  <si>
    <t>Weathersfield</t>
  </si>
  <si>
    <t>Wells</t>
  </si>
  <si>
    <t>West Fairlee</t>
  </si>
  <si>
    <t>West Haven</t>
  </si>
  <si>
    <t>West Rutland</t>
  </si>
  <si>
    <t>West Windsor</t>
  </si>
  <si>
    <t>Westfield</t>
  </si>
  <si>
    <t>Westford</t>
  </si>
  <si>
    <t>Westminster</t>
  </si>
  <si>
    <t>Westmore</t>
  </si>
  <si>
    <t>Weston</t>
  </si>
  <si>
    <t>Weybridge</t>
  </si>
  <si>
    <t>Wheelock</t>
  </si>
  <si>
    <t>Whiting</t>
  </si>
  <si>
    <t>Whitingham</t>
  </si>
  <si>
    <t>Williamstown</t>
  </si>
  <si>
    <t>Williston</t>
  </si>
  <si>
    <t>Wilmington</t>
  </si>
  <si>
    <t>Windham</t>
  </si>
  <si>
    <t>Windsor</t>
  </si>
  <si>
    <t>Winhall</t>
  </si>
  <si>
    <t>Winooski</t>
  </si>
  <si>
    <t>Wolcott</t>
  </si>
  <si>
    <t>Woodbury</t>
  </si>
  <si>
    <t>Woodford</t>
  </si>
  <si>
    <t>Woodstock</t>
  </si>
  <si>
    <t>Worcester</t>
  </si>
  <si>
    <t>Municipality</t>
  </si>
  <si>
    <t>Regional Planning Commission</t>
  </si>
  <si>
    <t>2014 Population</t>
  </si>
  <si>
    <t xml:space="preserve">To use this workbook first enter the name of your municipality here: </t>
  </si>
  <si>
    <t xml:space="preserve">Your municipality's share of the state's population is: </t>
  </si>
  <si>
    <t xml:space="preserve">Total biofuel-blended energy consumed for LDV transportation in 90x50 Scenario, in millions of Btu (taken from Table 6). </t>
  </si>
  <si>
    <t>Share of State Bldgs.</t>
  </si>
  <si>
    <r>
      <t xml:space="preserve"> 5) Reference Scenario Total Regional Light Duty Vehicle Consumption </t>
    </r>
    <r>
      <rPr>
        <sz val="11"/>
        <color rgb="FFFF0000"/>
        <rFont val="Calibri"/>
        <family val="2"/>
        <scheme val="minor"/>
      </rPr>
      <t>Thousand</t>
    </r>
    <r>
      <rPr>
        <sz val="11"/>
        <color theme="1"/>
        <rFont val="Calibri"/>
        <family val="2"/>
        <scheme val="minor"/>
      </rPr>
      <t xml:space="preserve"> MMBTUs</t>
    </r>
  </si>
  <si>
    <r>
      <t xml:space="preserve"> 6) 90x50 Scenario Total Regional Light Duty Vehicle Consumption </t>
    </r>
    <r>
      <rPr>
        <sz val="11"/>
        <color rgb="FFFF0000"/>
        <rFont val="Calibri"/>
        <family val="2"/>
        <scheme val="minor"/>
      </rPr>
      <t>Thousand</t>
    </r>
    <r>
      <rPr>
        <sz val="11"/>
        <color theme="1"/>
        <rFont val="Calibri"/>
        <family val="2"/>
        <scheme val="minor"/>
      </rPr>
      <t xml:space="preserve"> MMBTUs</t>
    </r>
  </si>
  <si>
    <t>Total electricity consumed for LDV transportation in 90x50 Scenario, in millions of Btu (taken from Table 6).</t>
  </si>
  <si>
    <t xml:space="preserve">Enter an estimate of a typical amount of area annual residential electricity savings realized from efficiency improvements, in kWh. An individual residential upgrades might save from anywhere from 50 to 1000 kWh per year or more. </t>
  </si>
  <si>
    <t>500 MMBtu of additional weatherization savings is matched with 450 MMBtu reduction in consumption of Biofuel heat energy. 5,000 MMBtu added in exchange for 5,000 MMBtu reduction in consumption of Wood heat energy</t>
  </si>
  <si>
    <t>Reduced by 5,000 MMBtu in exchange for 5,000 MMBtu increase in consumption of Biofuel heat energy above</t>
  </si>
  <si>
    <t>5,000 MMBtu of additional weatherization savings is matched with a 2,000 MMBtu reduction in consumption of Heat Pump electricity</t>
  </si>
  <si>
    <t>2,500 MMBtu of additional weatherization savings is matched below with a 2,250 MMBtu reduction in consumption of Wood heat energy</t>
  </si>
  <si>
    <t>Reduced 2,250 MMBtu in exchange for the above 2,500 MMBtu of additional weatherization savings for Residences using Natural Gas</t>
  </si>
  <si>
    <r>
      <t>This is the estimated total annual energy consumption amount in the area for light-duty passenger transportation purposes, in millions of Btu. It is produced from the calculation steps below which depend on assumptions inputted into each of the colored cells.</t>
    </r>
    <r>
      <rPr>
        <sz val="11"/>
        <rFont val="Calibri"/>
        <family val="2"/>
        <scheme val="minor"/>
      </rPr>
      <t xml:space="preserve"> </t>
    </r>
  </si>
  <si>
    <t>Estimating current light-duty vehicle (LDV) transportation energy consumption in a municipal area</t>
  </si>
  <si>
    <t>Enter an estimate of the number of fossil-fuel burning LDV in the area. It is not necessary to distinguish between diesel and gasoline burning vehicles.</t>
  </si>
  <si>
    <t xml:space="preserve">Enter an estimate of the average annual number of miles travelled by an LDV in the area. For the State as a whole, total VMT per registered Vehicle is currently around 12,500 annually. The vast majority of LDV in Vermont can safely be assumed to drive between 9,000 and 15,000 miles annnually.  </t>
  </si>
  <si>
    <t xml:space="preserve">Enter an estimate of the average fuel economy of fossil fuel burning LDV fleet in the area, in miles per gallon (MPG). Statewide, the average fuel economy of all registered vehicles is around 22 MPG. Below are examples of the type of statistics that could be useful for benchmarking your estimate. Other information can be cited as well. </t>
  </si>
  <si>
    <t xml:space="preserve">Enter an estimate of the volumetric percentage of ethanol blended into area fuel supplies "at the pump."  For the State as a whole, ethanol accounts for about 9% of the volume of fuel consumed "at the pump." This percentage may differ substantially area to area.  </t>
  </si>
  <si>
    <t xml:space="preserve">Estimating current non-industrial building (Residential and Commercial) heat energy consumption in a municipal area </t>
  </si>
  <si>
    <t>This is the estimated total heat energy consumption of Commercial buildings in the area, in millions of Btu.</t>
  </si>
  <si>
    <t xml:space="preserve">This is an estimate of your area's share of total Commercial building heat energy consumption statewide. It is used to scale the statewide LEAP scenario results to the level of your municipality  </t>
  </si>
  <si>
    <t>Developing targets for weatherization and fuel-switching for non-industrial buildings in a municipal area</t>
  </si>
  <si>
    <t xml:space="preserve">Below are a series of calculations done using the LEAP scenario data which can be used to put those model results into perspective and give Planners a sense of the appropriateness of the LEAP scenario trajectories for their area. Should Planners find that the LEAP scenario depicts an inappropriate trajectory for their area, they may make adjustments to the model results using the following exchange rates. For an illustration of how to make such adjustments see the tab labeled "Exchange Example." </t>
  </si>
  <si>
    <t>This workbook is designed as an aid to Town Planners in the development of :</t>
  </si>
  <si>
    <t>estimates of current energy consumption and,</t>
  </si>
  <si>
    <t xml:space="preserve">Next, enter the necessary assumptions into the input cells in the tabs labeled, </t>
  </si>
  <si>
    <t xml:space="preserve">Cells that calculate key outputs are formatted like this: </t>
  </si>
  <si>
    <t>hunting</t>
  </si>
  <si>
    <t>good</t>
  </si>
  <si>
    <t>Developing electric efficiency targets for a municipal area</t>
  </si>
  <si>
    <t>(This share is used to determine your municipality's consumption and efficiency targets)</t>
  </si>
  <si>
    <t>"1.Current Trans," and "1.Current Heat."</t>
  </si>
  <si>
    <t xml:space="preserve">These input assumptions will flow through to the calculations on the tabs labelled, "2. Trans Targets," "2.Heat Targets, and "2.Electric Targets." These 3 worksheets will guide Planners through an interpretation of  the LEAP scenario data provided by VEIC. </t>
  </si>
  <si>
    <t xml:space="preserve">Enter an estimate of the number of Electric Vehicles in the area.  </t>
  </si>
  <si>
    <t>Developing fuel-switching targets for Light-Duty Vehicle (LDV) transportation in a municipal area</t>
  </si>
  <si>
    <t>Below are a series of calculations on the LEAP scenario data which can be used to put those model results into perspective and give Planners a sense of the appropriateness of the LEAP scenario trajectories for their area. Should Planners find that the LEAP scenario depicts an inappropriate trajectory for their area, they may make adjustments to the model results using the following exchange rates. For an illustration of how to make such adjustments see the tab labeled "Exchange Example."</t>
  </si>
  <si>
    <t>Pop Share of State</t>
  </si>
  <si>
    <t>Pop Share of Region</t>
  </si>
  <si>
    <t xml:space="preserve">Your municipality's share of the region's population is: </t>
  </si>
  <si>
    <t>All Other town</t>
  </si>
  <si>
    <t>Saint Albans City</t>
  </si>
  <si>
    <t>TOTAL</t>
  </si>
  <si>
    <t>count</t>
  </si>
  <si>
    <t>share of buildings in town</t>
  </si>
  <si>
    <t xml:space="preserve">Your municipality's share of the state commercial buildings stock is: </t>
  </si>
  <si>
    <t>Your municipality's share of the regional commercial building stock is:</t>
  </si>
  <si>
    <t>42. Wholesale trade2</t>
  </si>
  <si>
    <t>44-45. Retail trade3</t>
  </si>
  <si>
    <t>48-49. Transportation and warehousing4</t>
  </si>
  <si>
    <t>51. Information5</t>
  </si>
  <si>
    <t>52. Finance and insurance6</t>
  </si>
  <si>
    <t>53. Real estate and rental and leasing7</t>
  </si>
  <si>
    <t>54. Professional and technical services8</t>
  </si>
  <si>
    <t>55. Management of companies and enterprises9</t>
  </si>
  <si>
    <t>56. Administrative and waste services10</t>
  </si>
  <si>
    <t>61. Educational services11</t>
  </si>
  <si>
    <t>62. Health care and social assistance12</t>
  </si>
  <si>
    <t>71. Arts, entertainment, and recreation13</t>
  </si>
  <si>
    <t>72. Accommodation and food services14</t>
  </si>
  <si>
    <t>81. Other services, except public administration15</t>
  </si>
  <si>
    <t>share of state establishments</t>
  </si>
  <si>
    <t>share of state establishments (no residual)</t>
  </si>
  <si>
    <t>share of regional establishments</t>
  </si>
  <si>
    <t>Avg number of Empl. (Statewide)</t>
  </si>
  <si>
    <t>Estimated  Consumption (MMBtu)</t>
  </si>
  <si>
    <t>Estimated Avg.  Consumption (MMBtu)</t>
  </si>
  <si>
    <t>Number of Bldgs. in Town</t>
  </si>
  <si>
    <t xml:space="preserve">Share of Town Bldgs. </t>
  </si>
  <si>
    <t>AS GIVEN BY VEIC. DO NOT MODIFY</t>
  </si>
  <si>
    <t>APPLIES TOWN POP/EST SHARES OF REGION TO REGIONAL RESULTS</t>
  </si>
  <si>
    <t xml:space="preserve">APPLIES TOWN POP/EST SHARE OF STATE TO STATE RESULTS. </t>
  </si>
  <si>
    <t>This the total number of commercial buildings in the area</t>
  </si>
  <si>
    <r>
      <t>Estimate the average annual heating load of commercial establishments in area, in millions of Btu (space and water heating loads combined).  For the state as a whole, the average is in the range of 700 MMBtu to 750 MMBtu per year but the average for any given area is very likely to be significantly higher or lower, as the mix of businesses from region to region is highly variable. The table below provides a generic method for taking account of local business mix when developing this estimate. Note that this method makes two simplifying assumptions  1) local businesses employ the same number of employees on average as all businesses in the state and 2) local business heat consumption is proportional to the number of workers employed in each type of business. Planners that elect to use this method should  check for counter-intuitive results and make adjustments as necessary.</t>
    </r>
    <r>
      <rPr>
        <b/>
        <sz val="11"/>
        <color theme="1"/>
        <rFont val="Calibri"/>
        <family val="2"/>
        <scheme val="minor"/>
      </rPr>
      <t xml:space="preserve"> </t>
    </r>
  </si>
  <si>
    <t>This is the estimated average commercial heating load in the area, in millions of Btu</t>
  </si>
  <si>
    <t>Enter an estimate of the average annual heating load of area residences, in millions of Btu (for space and water heating combined). For the State as a whole, this figure is around 110 MMBtu. The vast majority of residential heating loads can safely be assumed to fall between 70 and 150 MMBtu per year. Below are some useful statistics for benchmarking your estimate. The percentage to the right will adjust based on your entry. It should fall somewhere between 90% and 110%.</t>
  </si>
  <si>
    <t>&lt; do not modify</t>
  </si>
  <si>
    <t>adj</t>
  </si>
  <si>
    <t>These are based on NVDA's LEAP PROJECTIONS. To MODIFY, CHECK OUT THE EXCHANGE EXAMPLE TAB.</t>
  </si>
  <si>
    <t>Biofuel-blend</t>
  </si>
  <si>
    <t>Electric Resistence</t>
  </si>
  <si>
    <t>Wood Pellets</t>
  </si>
  <si>
    <t>Avoidance</t>
  </si>
  <si>
    <t>Orleans</t>
  </si>
  <si>
    <t>Caledonia</t>
  </si>
  <si>
    <t>NEK</t>
  </si>
  <si>
    <t>Residential units</t>
  </si>
  <si>
    <t>Owner</t>
  </si>
  <si>
    <t>Rented</t>
  </si>
  <si>
    <t>Towns</t>
  </si>
  <si>
    <t>Owned</t>
  </si>
  <si>
    <t>% of NEK (Weight)</t>
  </si>
  <si>
    <t>Total MMBTUs</t>
  </si>
  <si>
    <t>Average</t>
  </si>
  <si>
    <t>Weighted Avg.</t>
  </si>
  <si>
    <t>Newport town</t>
  </si>
  <si>
    <t>St. Johnsbury</t>
  </si>
  <si>
    <t>UTG</t>
  </si>
  <si>
    <t>Share of Region's Residential Units</t>
  </si>
  <si>
    <t>Commercial Energy Consumption by Fuel: 90x2050 vs. Reference</t>
  </si>
  <si>
    <t>Residential Energy  Consumption by Fuel: 90 x 2050 vs. Reference</t>
  </si>
  <si>
    <t>Share of Region's Commercial Stock:</t>
  </si>
  <si>
    <t xml:space="preserve">LOCAL </t>
  </si>
  <si>
    <t>Light Duty Vehicle Energy Consumption: 90x2050 vs. Reference</t>
  </si>
  <si>
    <t>Share of Region: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</si>
</sst>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00"/>
    <numFmt numFmtId="166" formatCode="#,##0.0"/>
    <numFmt numFmtId="167" formatCode="_(* #,##0_);_(* \(#,##0\);_(* &quot;-&quot;??_);_(@_)"/>
  </numFmts>
  <fonts count="28"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8"/>
      <name val="Arial"/>
      <family val="2"/>
    </font>
    <font>
      <sz val="9"/>
      <name val="Arial"/>
      <family val="2"/>
    </font>
    <font>
      <sz val="10"/>
      <color theme="1"/>
      <name val="Calibri"/>
      <family val="2"/>
      <scheme val="minor"/>
    </font>
    <font>
      <sz val="11"/>
      <color rgb="FF3F3F76"/>
      <name val="Calibri"/>
      <family val="2"/>
      <scheme val="minor"/>
    </font>
    <font>
      <b/>
      <sz val="11"/>
      <color rgb="FF3F3F3F"/>
      <name val="Calibri"/>
      <family val="2"/>
      <scheme val="minor"/>
    </font>
    <font>
      <u/>
      <sz val="11"/>
      <color theme="10"/>
      <name val="Calibri"/>
      <family val="2"/>
      <scheme val="minor"/>
    </font>
    <font>
      <sz val="11"/>
      <name val="Calibri"/>
      <family val="2"/>
      <scheme val="minor"/>
    </font>
    <font>
      <sz val="9"/>
      <color indexed="81"/>
      <name val="Tahoma"/>
      <family val="2"/>
    </font>
    <font>
      <sz val="10"/>
      <name val="Arial"/>
      <family val="2"/>
    </font>
    <font>
      <sz val="10"/>
      <color rgb="FF3F3F76"/>
      <name val="Calibri"/>
      <family val="2"/>
      <scheme val="minor"/>
    </font>
    <font>
      <b/>
      <sz val="10"/>
      <color rgb="FF3F3F3F"/>
      <name val="Calibri"/>
      <family val="2"/>
      <scheme val="minor"/>
    </font>
    <font>
      <u/>
      <sz val="14"/>
      <color theme="1"/>
      <name val="Calibri"/>
      <family val="2"/>
      <scheme val="minor"/>
    </font>
    <font>
      <b/>
      <u/>
      <sz val="16"/>
      <color theme="1"/>
      <name val="Calibri"/>
      <family val="2"/>
      <scheme val="minor"/>
    </font>
    <font>
      <b/>
      <u/>
      <sz val="11"/>
      <color theme="1"/>
      <name val="Calibri"/>
      <family val="2"/>
      <scheme val="minor"/>
    </font>
    <font>
      <sz val="12"/>
      <color theme="1"/>
      <name val="Calibri"/>
      <family val="2"/>
      <scheme val="minor"/>
    </font>
    <font>
      <u/>
      <sz val="12"/>
      <color theme="1"/>
      <name val="Calibri"/>
      <family val="2"/>
      <scheme val="minor"/>
    </font>
    <font>
      <b/>
      <i/>
      <sz val="11"/>
      <color rgb="FF0070C0"/>
      <name val="Calibri"/>
      <family val="2"/>
      <scheme val="minor"/>
    </font>
    <font>
      <i/>
      <sz val="12"/>
      <color theme="1"/>
      <name val="Calibri"/>
      <family val="2"/>
      <scheme val="minor"/>
    </font>
    <font>
      <i/>
      <sz val="11"/>
      <color rgb="FF0070C0"/>
      <name val="Calibri"/>
      <family val="2"/>
      <scheme val="minor"/>
    </font>
    <font>
      <b/>
      <u/>
      <sz val="14"/>
      <color theme="1"/>
      <name val="Calibri"/>
      <family val="2"/>
      <scheme val="minor"/>
    </font>
    <font>
      <sz val="11"/>
      <color rgb="FFFF0000"/>
      <name val="Calibri"/>
      <family val="2"/>
      <scheme val="minor"/>
    </font>
    <font>
      <sz val="9"/>
      <color theme="1"/>
      <name val="Calibri"/>
      <family val="2"/>
      <scheme val="minor"/>
    </font>
    <font>
      <b/>
      <sz val="36"/>
      <color theme="1"/>
      <name val="Calibri"/>
      <family val="2"/>
      <scheme val="minor"/>
    </font>
    <font>
      <sz val="12"/>
      <name val="Calibri Light"/>
      <family val="2"/>
      <scheme val="maj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0"/>
        <bgColor indexed="64"/>
      </patternFill>
    </fill>
    <fill>
      <patternFill patternType="solid">
        <fgColor theme="6" tint="0.79998168889431442"/>
        <bgColor theme="6" tint="0.79998168889431442"/>
      </patternFill>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top/>
      <bottom/>
      <diagonal/>
    </border>
    <border>
      <left style="thin">
        <color rgb="FFB2B2B2"/>
      </left>
      <right style="thin">
        <color rgb="FFB2B2B2"/>
      </right>
      <top style="thin">
        <color indexed="64"/>
      </top>
      <bottom style="thin">
        <color indexed="64"/>
      </bottom>
      <diagonal/>
    </border>
    <border>
      <left style="thin">
        <color rgb="FF3F3F3F"/>
      </left>
      <right style="thin">
        <color indexed="64"/>
      </right>
      <top style="thin">
        <color indexed="64"/>
      </top>
      <bottom style="thin">
        <color indexed="64"/>
      </bottom>
      <diagonal/>
    </border>
    <border>
      <left style="thin">
        <color rgb="FF3F3F3F"/>
      </left>
      <right/>
      <top/>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7F7F7F"/>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theme="6"/>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7" fillId="2" borderId="13" applyNumberFormat="0" applyAlignment="0" applyProtection="0"/>
    <xf numFmtId="0" fontId="8" fillId="3" borderId="14" applyNumberFormat="0" applyAlignment="0" applyProtection="0"/>
    <xf numFmtId="0" fontId="2" fillId="4" borderId="15" applyNumberFormat="0" applyFont="0" applyAlignment="0" applyProtection="0"/>
    <xf numFmtId="0" fontId="9" fillId="0" borderId="0" applyNumberFormat="0" applyFill="0" applyBorder="0" applyAlignment="0" applyProtection="0"/>
    <xf numFmtId="0" fontId="18" fillId="0" borderId="0"/>
  </cellStyleXfs>
  <cellXfs count="309">
    <xf numFmtId="0" fontId="0" fillId="0" borderId="0" xfId="0"/>
    <xf numFmtId="0" fontId="0" fillId="0" borderId="4" xfId="0" applyBorder="1"/>
    <xf numFmtId="0" fontId="0" fillId="0" borderId="0" xfId="0" applyBorder="1"/>
    <xf numFmtId="0" fontId="0" fillId="0" borderId="5" xfId="0" applyBorder="1"/>
    <xf numFmtId="3" fontId="0" fillId="0" borderId="0" xfId="0" applyNumberFormat="1" applyBorder="1"/>
    <xf numFmtId="3" fontId="0" fillId="0" borderId="5" xfId="0" applyNumberFormat="1" applyBorder="1"/>
    <xf numFmtId="0" fontId="0" fillId="0" borderId="6" xfId="0" applyBorder="1"/>
    <xf numFmtId="0" fontId="0" fillId="0" borderId="9" xfId="0" applyBorder="1"/>
    <xf numFmtId="3" fontId="0" fillId="0" borderId="10" xfId="0" applyNumberFormat="1" applyBorder="1"/>
    <xf numFmtId="3" fontId="0" fillId="0" borderId="11" xfId="0" applyNumberFormat="1" applyBorder="1"/>
    <xf numFmtId="0" fontId="0" fillId="0" borderId="0" xfId="0" applyBorder="1" applyAlignment="1">
      <alignment horizontal="center" wrapText="1"/>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applyBorder="1"/>
    <xf numFmtId="0" fontId="1" fillId="0" borderId="5" xfId="0" applyFont="1" applyBorder="1"/>
    <xf numFmtId="0" fontId="1" fillId="0" borderId="12" xfId="0" applyFont="1" applyBorder="1"/>
    <xf numFmtId="3" fontId="0" fillId="0" borderId="7" xfId="0" applyNumberFormat="1" applyBorder="1"/>
    <xf numFmtId="3" fontId="0" fillId="0" borderId="8" xfId="0" applyNumberFormat="1" applyBorder="1"/>
    <xf numFmtId="3" fontId="0" fillId="0" borderId="12" xfId="0" applyNumberFormat="1" applyBorder="1"/>
    <xf numFmtId="3" fontId="0" fillId="0" borderId="0" xfId="0" applyNumberFormat="1"/>
    <xf numFmtId="9" fontId="0" fillId="0" borderId="0" xfId="2" applyFont="1" applyFill="1" applyBorder="1"/>
    <xf numFmtId="9" fontId="0" fillId="0" borderId="0" xfId="2" applyFont="1"/>
    <xf numFmtId="9" fontId="0" fillId="0" borderId="0" xfId="0" applyNumberFormat="1"/>
    <xf numFmtId="0" fontId="3" fillId="0" borderId="0" xfId="0" applyFont="1"/>
    <xf numFmtId="0" fontId="0" fillId="0" borderId="0" xfId="0" applyAlignment="1">
      <alignment horizontal="left"/>
    </xf>
    <xf numFmtId="0" fontId="6" fillId="0" borderId="0" xfId="0" applyFont="1" applyAlignment="1">
      <alignment horizontal="left" wrapText="1"/>
    </xf>
    <xf numFmtId="0" fontId="9" fillId="0" borderId="0" xfId="6" applyAlignment="1">
      <alignment vertical="center"/>
    </xf>
    <xf numFmtId="1" fontId="0" fillId="0" borderId="0" xfId="0" applyNumberFormat="1"/>
    <xf numFmtId="4" fontId="0" fillId="0" borderId="0" xfId="0" applyNumberFormat="1"/>
    <xf numFmtId="0" fontId="0" fillId="0" borderId="0" xfId="0" applyAlignment="1">
      <alignment vertical="top"/>
    </xf>
    <xf numFmtId="3" fontId="0" fillId="0" borderId="0" xfId="0" applyNumberFormat="1" applyAlignment="1">
      <alignment horizontal="left"/>
    </xf>
    <xf numFmtId="9" fontId="0" fillId="0" borderId="0" xfId="2" applyFont="1" applyAlignment="1">
      <alignment horizontal="center" vertical="center" wrapText="1"/>
    </xf>
    <xf numFmtId="9" fontId="0" fillId="0" borderId="0" xfId="2" applyFont="1" applyAlignment="1">
      <alignment horizontal="center" vertical="center"/>
    </xf>
    <xf numFmtId="2" fontId="0" fillId="0" borderId="0" xfId="2" applyNumberFormat="1" applyFont="1" applyAlignment="1">
      <alignment horizontal="center" vertical="center"/>
    </xf>
    <xf numFmtId="3" fontId="7" fillId="2" borderId="13" xfId="3" applyNumberFormat="1" applyAlignment="1">
      <alignment horizontal="center" vertical="center"/>
    </xf>
    <xf numFmtId="0" fontId="12" fillId="0" borderId="9" xfId="0" applyFont="1" applyBorder="1" applyAlignment="1">
      <alignment horizontal="left" vertical="center"/>
    </xf>
    <xf numFmtId="3" fontId="12" fillId="0" borderId="2" xfId="0" applyNumberFormat="1" applyFont="1" applyBorder="1" applyAlignment="1">
      <alignment horizontal="center" vertical="center"/>
    </xf>
    <xf numFmtId="9" fontId="12" fillId="0" borderId="3" xfId="2" applyFont="1" applyBorder="1" applyAlignment="1">
      <alignment horizontal="center" vertical="center"/>
    </xf>
    <xf numFmtId="3" fontId="12" fillId="0" borderId="0" xfId="0" applyNumberFormat="1" applyFont="1" applyBorder="1" applyAlignment="1">
      <alignment horizontal="center" vertical="center"/>
    </xf>
    <xf numFmtId="9" fontId="12" fillId="0" borderId="5" xfId="2" applyFont="1" applyBorder="1" applyAlignment="1">
      <alignment horizontal="center" vertical="center"/>
    </xf>
    <xf numFmtId="0" fontId="5" fillId="0" borderId="9" xfId="0" applyFont="1" applyBorder="1"/>
    <xf numFmtId="0" fontId="12" fillId="0" borderId="10" xfId="0" applyFont="1" applyBorder="1" applyAlignment="1">
      <alignment horizontal="center" vertical="center"/>
    </xf>
    <xf numFmtId="3" fontId="12" fillId="4" borderId="17" xfId="5" applyNumberFormat="1" applyFont="1" applyBorder="1" applyAlignment="1">
      <alignment horizontal="center" vertical="center"/>
    </xf>
    <xf numFmtId="3" fontId="14" fillId="3" borderId="18" xfId="4" applyNumberFormat="1" applyFont="1" applyBorder="1" applyAlignment="1">
      <alignment horizontal="center" vertical="center"/>
    </xf>
    <xf numFmtId="0" fontId="5" fillId="0" borderId="1" xfId="0" applyFont="1" applyBorder="1" applyAlignment="1">
      <alignment vertical="top" wrapText="1"/>
    </xf>
    <xf numFmtId="0" fontId="5" fillId="0" borderId="4" xfId="0" applyFont="1" applyBorder="1" applyAlignment="1">
      <alignment vertical="top" wrapText="1"/>
    </xf>
    <xf numFmtId="0" fontId="4" fillId="0" borderId="4" xfId="0" applyFont="1" applyBorder="1" applyAlignment="1">
      <alignment vertical="top"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5" fillId="0" borderId="0" xfId="0" applyFont="1"/>
    <xf numFmtId="0" fontId="16" fillId="0" borderId="0" xfId="0" applyFont="1"/>
    <xf numFmtId="0" fontId="17" fillId="0" borderId="0" xfId="0" applyFont="1"/>
    <xf numFmtId="0" fontId="0" fillId="0" borderId="0" xfId="0" applyAlignment="1">
      <alignment horizontal="center" vertical="center"/>
    </xf>
    <xf numFmtId="3" fontId="8" fillId="3" borderId="14" xfId="4"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Font="1" applyBorder="1" applyAlignment="1">
      <alignment horizontal="left" vertical="top" wrapText="1"/>
    </xf>
    <xf numFmtId="0" fontId="0" fillId="0" borderId="0" xfId="0" applyFont="1" applyAlignment="1">
      <alignment horizontal="left" wrapText="1"/>
    </xf>
    <xf numFmtId="0" fontId="19" fillId="0" borderId="0" xfId="0" applyFont="1"/>
    <xf numFmtId="3" fontId="0" fillId="0" borderId="4" xfId="0" applyNumberFormat="1" applyBorder="1" applyAlignment="1">
      <alignment horizontal="center"/>
    </xf>
    <xf numFmtId="3" fontId="0" fillId="0" borderId="0" xfId="0" applyNumberFormat="1" applyBorder="1" applyAlignment="1">
      <alignment horizontal="center"/>
    </xf>
    <xf numFmtId="3" fontId="0" fillId="0" borderId="5" xfId="0" applyNumberFormat="1" applyBorder="1" applyAlignment="1">
      <alignment horizontal="center"/>
    </xf>
    <xf numFmtId="9" fontId="0" fillId="0" borderId="6" xfId="2" applyFont="1" applyBorder="1" applyAlignment="1">
      <alignment horizontal="center"/>
    </xf>
    <xf numFmtId="9" fontId="0" fillId="0" borderId="7" xfId="2" applyFont="1" applyBorder="1" applyAlignment="1">
      <alignment horizontal="center"/>
    </xf>
    <xf numFmtId="9" fontId="0" fillId="0" borderId="8" xfId="2" applyFont="1" applyBorder="1" applyAlignment="1">
      <alignment horizontal="center"/>
    </xf>
    <xf numFmtId="0" fontId="0" fillId="0" borderId="1" xfId="0" applyBorder="1"/>
    <xf numFmtId="0" fontId="0" fillId="0" borderId="2" xfId="0" applyBorder="1"/>
    <xf numFmtId="0" fontId="0" fillId="0" borderId="3" xfId="0" applyBorder="1"/>
    <xf numFmtId="0" fontId="0" fillId="0" borderId="7" xfId="0" applyBorder="1"/>
    <xf numFmtId="0" fontId="0" fillId="0" borderId="8" xfId="0" applyBorder="1"/>
    <xf numFmtId="0" fontId="0" fillId="0" borderId="22" xfId="0" applyBorder="1"/>
    <xf numFmtId="0" fontId="0" fillId="0" borderId="23" xfId="0" applyBorder="1"/>
    <xf numFmtId="0" fontId="0" fillId="0" borderId="24" xfId="0" applyBorder="1"/>
    <xf numFmtId="0" fontId="0" fillId="0" borderId="0" xfId="0"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9" fontId="0" fillId="0" borderId="0" xfId="0" applyNumberFormat="1" applyAlignment="1">
      <alignment horizontal="center"/>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20" fillId="0" borderId="0" xfId="0" applyNumberFormat="1" applyFont="1" applyBorder="1"/>
    <xf numFmtId="3" fontId="20" fillId="0" borderId="5" xfId="0" applyNumberFormat="1" applyFont="1" applyBorder="1"/>
    <xf numFmtId="164" fontId="0" fillId="0" borderId="6" xfId="2" applyNumberFormat="1" applyFont="1" applyBorder="1" applyAlignment="1">
      <alignment horizontal="center"/>
    </xf>
    <xf numFmtId="164" fontId="0" fillId="0" borderId="7" xfId="2" applyNumberFormat="1" applyFont="1" applyBorder="1" applyAlignment="1">
      <alignment horizontal="center"/>
    </xf>
    <xf numFmtId="164" fontId="0" fillId="0" borderId="8" xfId="2" applyNumberFormat="1" applyFont="1" applyBorder="1" applyAlignment="1">
      <alignment horizontal="center"/>
    </xf>
    <xf numFmtId="165" fontId="0" fillId="0" borderId="0" xfId="0" applyNumberFormat="1" applyBorder="1"/>
    <xf numFmtId="165" fontId="0" fillId="0" borderId="5" xfId="0" applyNumberFormat="1" applyBorder="1"/>
    <xf numFmtId="3" fontId="0" fillId="0" borderId="0" xfId="0" applyNumberFormat="1" applyFill="1" applyBorder="1" applyAlignment="1">
      <alignment horizontal="center"/>
    </xf>
    <xf numFmtId="1" fontId="0" fillId="0" borderId="0" xfId="2" applyNumberFormat="1" applyFont="1"/>
    <xf numFmtId="1" fontId="0" fillId="0" borderId="9" xfId="0" applyNumberFormat="1" applyBorder="1" applyAlignment="1">
      <alignment horizontal="center"/>
    </xf>
    <xf numFmtId="1" fontId="0" fillId="0" borderId="10" xfId="0" applyNumberFormat="1" applyBorder="1" applyAlignment="1">
      <alignment horizontal="center"/>
    </xf>
    <xf numFmtId="1" fontId="0" fillId="0" borderId="11" xfId="0" applyNumberFormat="1" applyBorder="1" applyAlignment="1">
      <alignment horizontal="center"/>
    </xf>
    <xf numFmtId="9" fontId="0" fillId="0" borderId="4" xfId="2" applyNumberFormat="1" applyFont="1" applyBorder="1" applyAlignment="1">
      <alignment horizontal="center"/>
    </xf>
    <xf numFmtId="9" fontId="0" fillId="0" borderId="0" xfId="2" applyNumberFormat="1" applyFont="1" applyBorder="1" applyAlignment="1">
      <alignment horizontal="center"/>
    </xf>
    <xf numFmtId="9" fontId="0" fillId="0" borderId="5" xfId="2" applyNumberFormat="1" applyFont="1" applyBorder="1" applyAlignment="1">
      <alignment horizontal="center"/>
    </xf>
    <xf numFmtId="3" fontId="0" fillId="0" borderId="25" xfId="0" applyNumberFormat="1" applyBorder="1" applyAlignment="1">
      <alignment horizontal="center"/>
    </xf>
    <xf numFmtId="0" fontId="0" fillId="5" borderId="0" xfId="0" applyFill="1"/>
    <xf numFmtId="0" fontId="0" fillId="5" borderId="4" xfId="0" applyFill="1" applyBorder="1"/>
    <xf numFmtId="0" fontId="0" fillId="5" borderId="0" xfId="0" applyFill="1" applyBorder="1"/>
    <xf numFmtId="0" fontId="0" fillId="5" borderId="5" xfId="0" applyFill="1" applyBorder="1"/>
    <xf numFmtId="164" fontId="22" fillId="0" borderId="6" xfId="2" applyNumberFormat="1" applyFont="1" applyBorder="1" applyAlignment="1">
      <alignment horizontal="center"/>
    </xf>
    <xf numFmtId="164" fontId="22" fillId="0" borderId="7" xfId="2" applyNumberFormat="1" applyFont="1" applyBorder="1" applyAlignment="1">
      <alignment horizontal="center"/>
    </xf>
    <xf numFmtId="164" fontId="22" fillId="0" borderId="8" xfId="2" applyNumberFormat="1" applyFont="1" applyBorder="1" applyAlignment="1">
      <alignment horizontal="center"/>
    </xf>
    <xf numFmtId="1" fontId="22" fillId="0" borderId="9" xfId="0" applyNumberFormat="1" applyFont="1" applyBorder="1" applyAlignment="1">
      <alignment horizontal="center"/>
    </xf>
    <xf numFmtId="1" fontId="22" fillId="0" borderId="10" xfId="0" applyNumberFormat="1" applyFont="1" applyBorder="1" applyAlignment="1">
      <alignment horizontal="center"/>
    </xf>
    <xf numFmtId="9" fontId="22" fillId="0" borderId="6" xfId="2" applyFont="1" applyBorder="1" applyAlignment="1">
      <alignment horizontal="center"/>
    </xf>
    <xf numFmtId="1" fontId="22" fillId="0" borderId="11" xfId="0" applyNumberFormat="1" applyFont="1" applyBorder="1" applyAlignment="1">
      <alignment horizontal="center"/>
    </xf>
    <xf numFmtId="9" fontId="0" fillId="0" borderId="26" xfId="2" applyNumberFormat="1" applyFont="1" applyBorder="1" applyAlignment="1">
      <alignment horizontal="center"/>
    </xf>
    <xf numFmtId="3" fontId="0" fillId="0" borderId="26" xfId="0" applyNumberFormat="1" applyBorder="1" applyAlignment="1">
      <alignment horizontal="center"/>
    </xf>
    <xf numFmtId="9" fontId="22" fillId="0" borderId="28" xfId="2" applyFont="1" applyBorder="1" applyAlignment="1">
      <alignment horizontal="center"/>
    </xf>
    <xf numFmtId="0" fontId="0" fillId="0" borderId="0" xfId="0" applyFill="1" applyBorder="1"/>
    <xf numFmtId="0" fontId="23" fillId="0" borderId="0" xfId="0" applyFont="1"/>
    <xf numFmtId="3" fontId="7" fillId="2" borderId="13" xfId="3" applyNumberFormat="1" applyAlignment="1">
      <alignment horizontal="right" vertical="center"/>
    </xf>
    <xf numFmtId="3" fontId="0" fillId="0" borderId="0" xfId="0" applyNumberFormat="1" applyAlignment="1">
      <alignment horizontal="left" wrapText="1"/>
    </xf>
    <xf numFmtId="0" fontId="0" fillId="0" borderId="0" xfId="0" applyAlignment="1">
      <alignment horizontal="left" wrapText="1"/>
    </xf>
    <xf numFmtId="9" fontId="0" fillId="0" borderId="0" xfId="2" applyFont="1" applyAlignment="1">
      <alignment horizontal="right" vertical="center" wrapText="1"/>
    </xf>
    <xf numFmtId="3" fontId="0" fillId="0" borderId="0" xfId="0" applyNumberFormat="1" applyAlignment="1">
      <alignment vertical="center"/>
    </xf>
    <xf numFmtId="9" fontId="7" fillId="2" borderId="13" xfId="3" applyNumberFormat="1" applyAlignment="1">
      <alignment vertical="center"/>
    </xf>
    <xf numFmtId="3" fontId="8" fillId="3" borderId="14" xfId="4" applyNumberFormat="1" applyAlignment="1">
      <alignment vertical="center"/>
    </xf>
    <xf numFmtId="0" fontId="9" fillId="0" borderId="0" xfId="6" applyFill="1" applyAlignment="1">
      <alignment vertical="center"/>
    </xf>
    <xf numFmtId="3" fontId="7" fillId="2" borderId="13" xfId="3" applyNumberFormat="1" applyAlignment="1">
      <alignment vertical="center"/>
    </xf>
    <xf numFmtId="0" fontId="0" fillId="0" borderId="0" xfId="0" applyAlignment="1">
      <alignment horizontal="right" vertical="center"/>
    </xf>
    <xf numFmtId="0" fontId="6" fillId="0" borderId="0" xfId="0" applyFont="1"/>
    <xf numFmtId="43" fontId="6" fillId="0" borderId="0" xfId="1" applyFont="1"/>
    <xf numFmtId="3" fontId="0" fillId="0" borderId="4" xfId="0" applyNumberFormat="1" applyBorder="1" applyAlignment="1">
      <alignment horizontal="center" vertical="center"/>
    </xf>
    <xf numFmtId="3" fontId="0" fillId="0" borderId="0" xfId="0" applyNumberFormat="1" applyBorder="1" applyAlignment="1">
      <alignment horizontal="center" vertical="center"/>
    </xf>
    <xf numFmtId="3" fontId="0" fillId="0" borderId="5" xfId="0" applyNumberFormat="1" applyBorder="1" applyAlignment="1">
      <alignment horizontal="center" vertical="center"/>
    </xf>
    <xf numFmtId="3" fontId="7" fillId="2" borderId="20" xfId="3" applyNumberFormat="1" applyBorder="1" applyAlignment="1">
      <alignment horizontal="center" vertical="center"/>
    </xf>
    <xf numFmtId="3" fontId="7" fillId="2" borderId="13" xfId="3" applyNumberFormat="1" applyBorder="1" applyAlignment="1">
      <alignment horizontal="center" vertical="center"/>
    </xf>
    <xf numFmtId="3" fontId="7" fillId="2" borderId="21" xfId="3" applyNumberFormat="1" applyBorder="1" applyAlignment="1">
      <alignment horizontal="center" vertical="center"/>
    </xf>
    <xf numFmtId="9" fontId="0" fillId="0" borderId="6" xfId="2" applyFont="1" applyBorder="1" applyAlignment="1">
      <alignment horizontal="center" vertical="center"/>
    </xf>
    <xf numFmtId="9" fontId="0" fillId="0" borderId="7" xfId="2" applyFont="1" applyBorder="1" applyAlignment="1">
      <alignment horizontal="center" vertical="center"/>
    </xf>
    <xf numFmtId="9" fontId="0" fillId="0" borderId="8" xfId="2" applyFont="1" applyBorder="1" applyAlignment="1">
      <alignment horizontal="center" vertical="center"/>
    </xf>
    <xf numFmtId="0" fontId="15"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 fontId="0" fillId="0" borderId="6" xfId="0" applyNumberFormat="1" applyBorder="1" applyAlignment="1">
      <alignment horizontal="center" vertic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9" fontId="0" fillId="0" borderId="0" xfId="2" applyFont="1" applyBorder="1" applyAlignment="1">
      <alignment horizontal="center" vertical="center"/>
    </xf>
    <xf numFmtId="1" fontId="0" fillId="0" borderId="9" xfId="0" applyNumberFormat="1" applyBorder="1" applyAlignment="1">
      <alignment horizontal="center" vertical="center"/>
    </xf>
    <xf numFmtId="1" fontId="0" fillId="0" borderId="10" xfId="0" applyNumberFormat="1" applyBorder="1" applyAlignment="1">
      <alignment horizontal="center" vertical="center"/>
    </xf>
    <xf numFmtId="1" fontId="0" fillId="0" borderId="11" xfId="0" applyNumberFormat="1" applyBorder="1" applyAlignment="1">
      <alignment horizontal="center" vertical="center"/>
    </xf>
    <xf numFmtId="3" fontId="0" fillId="0" borderId="1" xfId="0" applyNumberFormat="1" applyBorder="1" applyAlignment="1">
      <alignment horizontal="center" vertical="center"/>
    </xf>
    <xf numFmtId="3" fontId="0" fillId="0" borderId="2" xfId="0" applyNumberFormat="1" applyBorder="1" applyAlignment="1">
      <alignment horizontal="center" vertical="center"/>
    </xf>
    <xf numFmtId="3" fontId="0" fillId="0" borderId="3" xfId="0" applyNumberFormat="1" applyBorder="1" applyAlignment="1">
      <alignment horizontal="center" vertical="center"/>
    </xf>
    <xf numFmtId="9" fontId="0" fillId="0" borderId="4" xfId="2" applyNumberFormat="1" applyFont="1" applyBorder="1" applyAlignment="1">
      <alignment horizontal="center" vertical="center"/>
    </xf>
    <xf numFmtId="9" fontId="0" fillId="0" borderId="0" xfId="2" applyNumberFormat="1" applyFont="1" applyBorder="1" applyAlignment="1">
      <alignment horizontal="center" vertical="center"/>
    </xf>
    <xf numFmtId="9" fontId="0" fillId="0" borderId="5" xfId="2" applyNumberFormat="1" applyFont="1" applyBorder="1" applyAlignment="1">
      <alignment horizontal="center" vertical="center"/>
    </xf>
    <xf numFmtId="1" fontId="0" fillId="0" borderId="1" xfId="0" applyNumberFormat="1" applyBorder="1" applyAlignment="1">
      <alignment horizontal="center" vertical="center"/>
    </xf>
    <xf numFmtId="1" fontId="0" fillId="0" borderId="2" xfId="0" applyNumberFormat="1" applyBorder="1" applyAlignment="1">
      <alignment horizontal="center" vertical="center"/>
    </xf>
    <xf numFmtId="1" fontId="0" fillId="0" borderId="3" xfId="0" applyNumberFormat="1" applyBorder="1" applyAlignment="1">
      <alignment horizontal="center" vertical="center"/>
    </xf>
    <xf numFmtId="9" fontId="0" fillId="0" borderId="4" xfId="2" applyFont="1" applyBorder="1" applyAlignment="1">
      <alignment horizontal="center" vertical="center"/>
    </xf>
    <xf numFmtId="9" fontId="0" fillId="0" borderId="5" xfId="2" applyFont="1" applyBorder="1" applyAlignment="1">
      <alignment horizontal="center" vertical="center"/>
    </xf>
    <xf numFmtId="0" fontId="0" fillId="0" borderId="0" xfId="0" applyFill="1" applyAlignment="1">
      <alignment vertical="center"/>
    </xf>
    <xf numFmtId="0" fontId="0" fillId="0" borderId="0" xfId="0" applyFill="1"/>
    <xf numFmtId="0" fontId="6" fillId="0" borderId="0" xfId="0" applyFont="1" applyFill="1"/>
    <xf numFmtId="0" fontId="15" fillId="0" borderId="0" xfId="0" applyFont="1" applyFill="1" applyAlignment="1">
      <alignment vertical="center"/>
    </xf>
    <xf numFmtId="0" fontId="3" fillId="0" borderId="0" xfId="0" applyFont="1" applyFill="1" applyAlignment="1">
      <alignment vertical="center"/>
    </xf>
    <xf numFmtId="166" fontId="0" fillId="0" borderId="0" xfId="0" applyNumberFormat="1"/>
    <xf numFmtId="3" fontId="0" fillId="0" borderId="4" xfId="2" applyNumberFormat="1" applyFont="1" applyBorder="1" applyAlignment="1">
      <alignment horizontal="center" vertical="center"/>
    </xf>
    <xf numFmtId="3" fontId="0" fillId="0" borderId="0" xfId="2" applyNumberFormat="1" applyFont="1" applyBorder="1" applyAlignment="1">
      <alignment horizontal="center" vertical="center"/>
    </xf>
    <xf numFmtId="3" fontId="0" fillId="0" borderId="5" xfId="2" applyNumberFormat="1" applyFont="1" applyBorder="1" applyAlignment="1">
      <alignment horizontal="center" vertical="center"/>
    </xf>
    <xf numFmtId="37" fontId="0" fillId="0" borderId="5" xfId="1" applyNumberFormat="1" applyFont="1" applyBorder="1" applyAlignment="1">
      <alignment horizontal="center" vertical="center"/>
    </xf>
    <xf numFmtId="2" fontId="0" fillId="0" borderId="0" xfId="0" applyNumberFormat="1" applyAlignment="1"/>
    <xf numFmtId="3" fontId="6" fillId="0" borderId="4" xfId="0" applyNumberFormat="1" applyFont="1" applyBorder="1" applyAlignment="1">
      <alignment horizontal="center" vertical="center"/>
    </xf>
    <xf numFmtId="3" fontId="6" fillId="0" borderId="0" xfId="0" applyNumberFormat="1" applyFont="1" applyBorder="1" applyAlignment="1">
      <alignment horizontal="center" vertical="center"/>
    </xf>
    <xf numFmtId="3" fontId="6" fillId="0" borderId="5" xfId="0" applyNumberFormat="1" applyFont="1" applyBorder="1" applyAlignment="1">
      <alignment horizontal="center" vertical="center"/>
    </xf>
    <xf numFmtId="9" fontId="6" fillId="0" borderId="6" xfId="2" applyFont="1" applyBorder="1" applyAlignment="1">
      <alignment horizontal="center" vertical="center"/>
    </xf>
    <xf numFmtId="9" fontId="6" fillId="0" borderId="7" xfId="2" applyFont="1" applyBorder="1" applyAlignment="1">
      <alignment horizontal="center" vertical="center"/>
    </xf>
    <xf numFmtId="9" fontId="6" fillId="0" borderId="8" xfId="2" applyFont="1" applyBorder="1" applyAlignment="1">
      <alignment horizontal="center" vertical="center"/>
    </xf>
    <xf numFmtId="0" fontId="0" fillId="5" borderId="0" xfId="0" applyFill="1" applyAlignment="1">
      <alignment horizontal="left" wrapText="1"/>
    </xf>
    <xf numFmtId="3" fontId="0" fillId="0" borderId="22" xfId="0" applyNumberFormat="1" applyBorder="1" applyAlignment="1">
      <alignment horizontal="center" vertical="center"/>
    </xf>
    <xf numFmtId="3" fontId="0" fillId="0" borderId="23" xfId="0" applyNumberFormat="1" applyBorder="1" applyAlignment="1">
      <alignment horizontal="center" vertical="center"/>
    </xf>
    <xf numFmtId="3" fontId="0" fillId="0" borderId="24" xfId="0" applyNumberFormat="1" applyBorder="1" applyAlignment="1">
      <alignment horizontal="center" vertical="center"/>
    </xf>
    <xf numFmtId="3" fontId="0" fillId="0" borderId="29" xfId="0" applyNumberFormat="1" applyBorder="1" applyAlignment="1">
      <alignment horizontal="center" vertical="center"/>
    </xf>
    <xf numFmtId="3" fontId="0" fillId="0" borderId="30" xfId="0" applyNumberFormat="1" applyBorder="1" applyAlignment="1">
      <alignment horizontal="center" vertical="center"/>
    </xf>
    <xf numFmtId="3" fontId="0" fillId="0" borderId="31" xfId="0" applyNumberFormat="1" applyBorder="1" applyAlignment="1">
      <alignment horizontal="center" vertical="center"/>
    </xf>
    <xf numFmtId="0" fontId="0" fillId="0" borderId="0" xfId="0" applyAlignment="1">
      <alignment wrapText="1"/>
    </xf>
    <xf numFmtId="3" fontId="12" fillId="0" borderId="10" xfId="0" applyNumberFormat="1" applyFont="1" applyBorder="1" applyAlignment="1">
      <alignment horizontal="center" vertical="center"/>
    </xf>
    <xf numFmtId="10" fontId="0" fillId="0" borderId="0" xfId="2" applyNumberFormat="1" applyFont="1" applyAlignment="1">
      <alignment horizontal="center" vertical="center"/>
    </xf>
    <xf numFmtId="0" fontId="18" fillId="0" borderId="0" xfId="7"/>
    <xf numFmtId="0" fontId="2" fillId="0" borderId="0" xfId="0" applyFont="1"/>
    <xf numFmtId="10" fontId="0" fillId="0" borderId="0" xfId="2" applyNumberFormat="1" applyFont="1"/>
    <xf numFmtId="0" fontId="18" fillId="0" borderId="0" xfId="7" applyFill="1"/>
    <xf numFmtId="10" fontId="0" fillId="5" borderId="0" xfId="2" applyNumberFormat="1" applyFont="1" applyFill="1" applyBorder="1" applyAlignment="1">
      <alignment horizontal="left" vertical="center" wrapText="1"/>
    </xf>
    <xf numFmtId="9" fontId="12" fillId="0" borderId="2" xfId="2" applyFont="1" applyBorder="1" applyAlignment="1">
      <alignment horizontal="center" vertical="center"/>
    </xf>
    <xf numFmtId="9" fontId="12" fillId="0" borderId="0" xfId="2" applyFont="1" applyBorder="1" applyAlignment="1">
      <alignment horizontal="center" vertical="center"/>
    </xf>
    <xf numFmtId="9" fontId="0" fillId="0" borderId="0" xfId="2" applyNumberFormat="1" applyFont="1" applyAlignment="1">
      <alignment horizontal="center" vertical="center"/>
    </xf>
    <xf numFmtId="0" fontId="0" fillId="5" borderId="0" xfId="0" applyFill="1" applyBorder="1" applyAlignment="1">
      <alignment horizontal="left" vertical="center" wrapText="1"/>
    </xf>
    <xf numFmtId="0" fontId="0" fillId="5" borderId="5" xfId="0" applyFill="1" applyBorder="1" applyAlignment="1">
      <alignment horizontal="left" vertical="center" wrapText="1"/>
    </xf>
    <xf numFmtId="0" fontId="0" fillId="5" borderId="4" xfId="0" applyFill="1" applyBorder="1" applyAlignment="1">
      <alignment horizontal="left" vertical="center"/>
    </xf>
    <xf numFmtId="0" fontId="0" fillId="5" borderId="0" xfId="0" applyFill="1" applyBorder="1" applyAlignment="1">
      <alignment horizontal="left" vertical="center"/>
    </xf>
    <xf numFmtId="0" fontId="0" fillId="5" borderId="0" xfId="0" applyFill="1" applyBorder="1" applyAlignment="1">
      <alignment horizontal="left" wrapText="1"/>
    </xf>
    <xf numFmtId="10" fontId="0" fillId="5" borderId="5" xfId="2" applyNumberFormat="1" applyFont="1" applyFill="1" applyBorder="1" applyAlignment="1">
      <alignment horizontal="left" vertical="center" wrapText="1"/>
    </xf>
    <xf numFmtId="0" fontId="7" fillId="2" borderId="13" xfId="3" applyBorder="1" applyAlignment="1">
      <alignment horizontal="center"/>
    </xf>
    <xf numFmtId="0" fontId="8" fillId="3" borderId="14" xfId="4" applyBorder="1" applyAlignment="1">
      <alignment horizontal="center"/>
    </xf>
    <xf numFmtId="3" fontId="7" fillId="2" borderId="13" xfId="3" applyNumberFormat="1" applyAlignment="1">
      <alignment horizontal="center"/>
    </xf>
    <xf numFmtId="0" fontId="0" fillId="5" borderId="4" xfId="0" applyFill="1" applyBorder="1" applyAlignment="1">
      <alignment horizontal="left" vertical="center"/>
    </xf>
    <xf numFmtId="0" fontId="0" fillId="5" borderId="0" xfId="0" applyFill="1" applyBorder="1" applyAlignment="1">
      <alignment horizontal="left" vertical="center"/>
    </xf>
    <xf numFmtId="0" fontId="0" fillId="5" borderId="4" xfId="0" applyFill="1" applyBorder="1" applyAlignment="1">
      <alignment horizontal="left" vertical="center"/>
    </xf>
    <xf numFmtId="0" fontId="0" fillId="5" borderId="0" xfId="0" applyFill="1" applyBorder="1" applyAlignment="1">
      <alignment horizontal="left" vertical="center"/>
    </xf>
    <xf numFmtId="9" fontId="18" fillId="0" borderId="0" xfId="2" applyFont="1" applyFill="1"/>
    <xf numFmtId="0" fontId="12" fillId="0" borderId="0" xfId="0" applyFont="1" applyFill="1" applyBorder="1" applyAlignment="1">
      <alignment horizontal="center" vertical="center" wrapText="1"/>
    </xf>
    <xf numFmtId="0" fontId="25" fillId="0" borderId="0" xfId="0" applyFont="1" applyAlignment="1">
      <alignment horizontal="left" vertical="top" wrapText="1"/>
    </xf>
    <xf numFmtId="0" fontId="26" fillId="0" borderId="0" xfId="0" applyFont="1"/>
    <xf numFmtId="9" fontId="0" fillId="0" borderId="0" xfId="0" applyNumberFormat="1" applyAlignment="1">
      <alignment horizontal="center" vertical="center"/>
    </xf>
    <xf numFmtId="166" fontId="0" fillId="0" borderId="12" xfId="0" applyNumberFormat="1" applyBorder="1"/>
    <xf numFmtId="4" fontId="0" fillId="0" borderId="12" xfId="0" applyNumberFormat="1" applyBorder="1"/>
    <xf numFmtId="164" fontId="0" fillId="0" borderId="0" xfId="2" applyNumberFormat="1" applyFont="1"/>
    <xf numFmtId="167" fontId="0" fillId="0" borderId="0" xfId="1" applyNumberFormat="1" applyFont="1"/>
    <xf numFmtId="167" fontId="0" fillId="0" borderId="0" xfId="0" applyNumberFormat="1"/>
    <xf numFmtId="0" fontId="27" fillId="0" borderId="32" xfId="0" applyFont="1" applyBorder="1" applyAlignment="1">
      <alignment horizontal="left"/>
    </xf>
    <xf numFmtId="43" fontId="0" fillId="0" borderId="0" xfId="0" applyNumberFormat="1"/>
    <xf numFmtId="0" fontId="27" fillId="6" borderId="32" xfId="0" applyFont="1" applyFill="1" applyBorder="1" applyAlignment="1">
      <alignment horizontal="left"/>
    </xf>
    <xf numFmtId="164" fontId="0" fillId="0" borderId="34" xfId="2" applyNumberFormat="1" applyFont="1" applyBorder="1"/>
    <xf numFmtId="3" fontId="0" fillId="7" borderId="12" xfId="0" applyNumberFormat="1" applyFill="1" applyBorder="1"/>
    <xf numFmtId="0" fontId="0" fillId="7" borderId="12" xfId="0" applyFill="1" applyBorder="1"/>
    <xf numFmtId="1" fontId="0" fillId="7" borderId="12" xfId="0" applyNumberFormat="1" applyFill="1" applyBorder="1"/>
    <xf numFmtId="167" fontId="0" fillId="7" borderId="12" xfId="1" applyNumberFormat="1" applyFont="1" applyFill="1" applyBorder="1"/>
    <xf numFmtId="164" fontId="0" fillId="7" borderId="12" xfId="2" applyNumberFormat="1" applyFont="1" applyFill="1" applyBorder="1"/>
    <xf numFmtId="0" fontId="0" fillId="7" borderId="0" xfId="0" applyFill="1" applyBorder="1"/>
    <xf numFmtId="0" fontId="0" fillId="7" borderId="0" xfId="0" applyFill="1"/>
    <xf numFmtId="164" fontId="1" fillId="0" borderId="33" xfId="2" applyNumberFormat="1" applyFont="1" applyBorder="1"/>
    <xf numFmtId="0" fontId="0" fillId="7" borderId="26" xfId="0" applyFill="1" applyBorder="1"/>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5" borderId="1" xfId="0"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0" xfId="0" applyFill="1" applyBorder="1" applyAlignment="1">
      <alignment horizontal="left" vertical="center" wrapText="1"/>
    </xf>
    <xf numFmtId="0" fontId="10" fillId="5" borderId="0" xfId="0" applyFont="1" applyFill="1" applyBorder="1" applyAlignment="1">
      <alignment horizontal="left" vertical="center" wrapText="1"/>
    </xf>
    <xf numFmtId="0" fontId="10" fillId="5" borderId="5" xfId="0" applyFont="1" applyFill="1" applyBorder="1" applyAlignment="1">
      <alignment horizontal="left" vertical="center" wrapText="1"/>
    </xf>
    <xf numFmtId="0" fontId="0" fillId="5" borderId="5" xfId="0" applyFill="1" applyBorder="1" applyAlignment="1">
      <alignment horizontal="left" vertical="center" wrapText="1"/>
    </xf>
    <xf numFmtId="0" fontId="0" fillId="5" borderId="4" xfId="0" applyFill="1" applyBorder="1" applyAlignment="1">
      <alignment horizontal="left" vertical="center"/>
    </xf>
    <xf numFmtId="0" fontId="0" fillId="5" borderId="0" xfId="0" applyFill="1" applyBorder="1" applyAlignment="1">
      <alignment horizontal="left" vertical="center"/>
    </xf>
    <xf numFmtId="0" fontId="7" fillId="2" borderId="13" xfId="3" applyAlignment="1">
      <alignment horizontal="left" vertical="center" wrapText="1"/>
    </xf>
    <xf numFmtId="164" fontId="0" fillId="5" borderId="6" xfId="2" applyNumberFormat="1" applyFont="1" applyFill="1" applyBorder="1" applyAlignment="1">
      <alignment horizontal="left" vertical="center" wrapText="1"/>
    </xf>
    <xf numFmtId="164" fontId="0" fillId="5" borderId="7" xfId="2" applyNumberFormat="1" applyFont="1" applyFill="1" applyBorder="1" applyAlignment="1">
      <alignment horizontal="left" vertical="center" wrapText="1"/>
    </xf>
    <xf numFmtId="164" fontId="0" fillId="5" borderId="8" xfId="2" applyNumberFormat="1" applyFont="1" applyFill="1" applyBorder="1" applyAlignment="1">
      <alignment horizontal="left" vertical="center" wrapText="1"/>
    </xf>
    <xf numFmtId="0" fontId="0" fillId="5" borderId="27" xfId="0" applyFill="1" applyBorder="1" applyAlignment="1">
      <alignment horizontal="left" vertical="center" wrapText="1"/>
    </xf>
    <xf numFmtId="0" fontId="0" fillId="5" borderId="5" xfId="0" applyFill="1" applyBorder="1" applyAlignment="1">
      <alignment horizontal="left" vertical="center"/>
    </xf>
    <xf numFmtId="0" fontId="10" fillId="5" borderId="4" xfId="0" applyFont="1" applyFill="1" applyBorder="1" applyAlignment="1">
      <alignment horizontal="left" vertical="top" wrapText="1"/>
    </xf>
    <xf numFmtId="0" fontId="10" fillId="5" borderId="0"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6"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5" borderId="8" xfId="0" applyFont="1" applyFill="1" applyBorder="1" applyAlignment="1">
      <alignment horizontal="left" vertical="top" wrapText="1"/>
    </xf>
    <xf numFmtId="164" fontId="0" fillId="5" borderId="9" xfId="2" applyNumberFormat="1" applyFont="1" applyFill="1" applyBorder="1" applyAlignment="1">
      <alignment horizontal="left" vertical="center" wrapText="1"/>
    </xf>
    <xf numFmtId="164" fontId="0" fillId="5" borderId="10" xfId="2" applyNumberFormat="1" applyFont="1" applyFill="1" applyBorder="1" applyAlignment="1">
      <alignment horizontal="left" vertical="center" wrapText="1"/>
    </xf>
    <xf numFmtId="164" fontId="0" fillId="5" borderId="11" xfId="2" applyNumberFormat="1" applyFont="1" applyFill="1" applyBorder="1" applyAlignment="1">
      <alignment horizontal="left" vertical="center" wrapText="1"/>
    </xf>
    <xf numFmtId="0" fontId="0" fillId="5" borderId="4" xfId="0" applyFill="1" applyBorder="1" applyAlignment="1">
      <alignment horizontal="left" vertical="center" indent="4"/>
    </xf>
    <xf numFmtId="0" fontId="0" fillId="5" borderId="0" xfId="0" applyFill="1" applyBorder="1" applyAlignment="1">
      <alignment horizontal="left" vertical="center" indent="4"/>
    </xf>
    <xf numFmtId="0" fontId="0" fillId="5" borderId="5" xfId="0" applyFill="1" applyBorder="1" applyAlignment="1">
      <alignment horizontal="left" vertical="center" indent="4"/>
    </xf>
    <xf numFmtId="0" fontId="0" fillId="0" borderId="16"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9" xfId="0" applyBorder="1" applyAlignment="1">
      <alignment horizontal="left" vertical="center"/>
    </xf>
    <xf numFmtId="0" fontId="0" fillId="0" borderId="19" xfId="0" applyBorder="1" applyAlignment="1">
      <alignment horizontal="left" vertical="center" wrapText="1"/>
    </xf>
    <xf numFmtId="0" fontId="0" fillId="0" borderId="0" xfId="0" applyBorder="1" applyAlignment="1">
      <alignment horizontal="left" vertical="center" wrapText="1"/>
    </xf>
    <xf numFmtId="0" fontId="9" fillId="0" borderId="0" xfId="6" applyAlignment="1">
      <alignment horizontal="left" vertical="center"/>
    </xf>
    <xf numFmtId="0" fontId="0" fillId="0" borderId="0" xfId="0" applyFont="1" applyAlignment="1">
      <alignment horizontal="left" vertical="center" wrapText="1"/>
    </xf>
    <xf numFmtId="0" fontId="0" fillId="0" borderId="16" xfId="0" applyFont="1" applyBorder="1" applyAlignment="1">
      <alignment horizontal="left" vertical="center" wrapText="1"/>
    </xf>
    <xf numFmtId="0" fontId="0" fillId="0" borderId="16" xfId="0" applyBorder="1" applyAlignment="1">
      <alignment horizontal="left" vertical="top" wrapText="1"/>
    </xf>
    <xf numFmtId="0" fontId="0" fillId="0" borderId="0" xfId="0" applyAlignment="1">
      <alignment horizontal="left" vertical="top" wrapText="1"/>
    </xf>
    <xf numFmtId="0" fontId="9" fillId="0" borderId="0" xfId="6" applyAlignment="1">
      <alignment horizontal="center" vertical="center"/>
    </xf>
    <xf numFmtId="0" fontId="0" fillId="0" borderId="16" xfId="0" applyBorder="1" applyAlignment="1">
      <alignment horizontal="left" vertical="center"/>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3" fontId="7" fillId="2" borderId="20" xfId="3" applyNumberFormat="1" applyBorder="1" applyAlignment="1">
      <alignment horizontal="center" vertical="center"/>
    </xf>
    <xf numFmtId="3" fontId="7" fillId="2" borderId="13" xfId="3" applyNumberFormat="1" applyBorder="1" applyAlignment="1">
      <alignment horizontal="center" vertical="center"/>
    </xf>
    <xf numFmtId="3" fontId="7" fillId="2" borderId="21" xfId="3" applyNumberFormat="1" applyBorder="1" applyAlignment="1">
      <alignment horizontal="center" vertical="center"/>
    </xf>
    <xf numFmtId="1" fontId="7" fillId="2" borderId="20" xfId="3" applyNumberFormat="1" applyBorder="1" applyAlignment="1">
      <alignment horizontal="center" vertical="center"/>
    </xf>
    <xf numFmtId="1" fontId="7" fillId="2" borderId="13" xfId="3" applyNumberFormat="1" applyBorder="1" applyAlignment="1">
      <alignment horizontal="center" vertical="center"/>
    </xf>
    <xf numFmtId="1" fontId="7" fillId="2" borderId="21" xfId="3" applyNumberFormat="1" applyBorder="1" applyAlignment="1">
      <alignment horizontal="center"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0"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6" fillId="8" borderId="0" xfId="0" applyFont="1" applyFill="1" applyAlignment="1">
      <alignment horizontal="left" vertical="center" wrapText="1"/>
    </xf>
    <xf numFmtId="3" fontId="13" fillId="2" borderId="20" xfId="3" applyNumberFormat="1" applyFont="1" applyBorder="1" applyAlignment="1">
      <alignment horizontal="center" vertical="center"/>
    </xf>
    <xf numFmtId="3" fontId="13" fillId="2" borderId="13" xfId="3" applyNumberFormat="1" applyFont="1" applyBorder="1" applyAlignment="1">
      <alignment horizontal="center" vertical="center"/>
    </xf>
    <xf numFmtId="3" fontId="13" fillId="2" borderId="21" xfId="3" applyNumberFormat="1" applyFont="1" applyBorder="1" applyAlignment="1">
      <alignment horizontal="center" vertical="center"/>
    </xf>
    <xf numFmtId="4" fontId="0" fillId="0" borderId="0" xfId="0" applyNumberFormat="1" applyAlignment="1">
      <alignment horizontal="center"/>
    </xf>
    <xf numFmtId="3" fontId="7" fillId="2" borderId="13" xfId="3" applyNumberFormat="1" applyAlignment="1">
      <alignment horizontal="center"/>
    </xf>
  </cellXfs>
  <cellStyles count="8">
    <cellStyle name="Comma" xfId="1" builtinId="3"/>
    <cellStyle name="Hyperlink" xfId="6" builtinId="8"/>
    <cellStyle name="Input" xfId="3" builtinId="20"/>
    <cellStyle name="Normal" xfId="0" builtinId="0"/>
    <cellStyle name="Normal 9" xfId="7"/>
    <cellStyle name="Note" xfId="5" builtinId="10"/>
    <cellStyle name="Output" xfId="4" builtinId="21"/>
    <cellStyle name="Percent" xfId="2" builtinId="5"/>
  </cellStyles>
  <dxfs count="23">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
      <numFmt numFmtId="0" formatCode="General"/>
    </dxf>
    <dxf>
      <font>
        <b val="0"/>
        <i val="0"/>
        <strike val="0"/>
        <condense val="0"/>
        <extend val="0"/>
        <outline val="0"/>
        <shadow val="0"/>
        <u val="none"/>
        <vertAlign val="baseline"/>
        <sz val="11"/>
        <color theme="1"/>
        <name val="Calibri"/>
        <scheme val="minor"/>
      </font>
    </dxf>
    <dxf>
      <font>
        <strike val="0"/>
        <outline val="0"/>
        <shadow val="0"/>
        <u val="none"/>
        <vertAlign val="baseline"/>
        <sz val="9"/>
        <color theme="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4" formatCode="0.00%"/>
    </dxf>
    <dxf>
      <font>
        <b val="0"/>
        <i val="0"/>
        <strike val="0"/>
        <condense val="0"/>
        <extend val="0"/>
        <outline val="0"/>
        <shadow val="0"/>
        <u val="none"/>
        <vertAlign val="baseline"/>
        <sz val="11"/>
        <color theme="1"/>
        <name val="Calibri"/>
        <scheme val="minor"/>
      </font>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solidFill>
                  <a:schemeClr val="tx1"/>
                </a:solidFill>
              </a:rPr>
              <a:t>Residential Energy Consumption by Fuel:</a:t>
            </a:r>
          </a:p>
          <a:p>
            <a:pPr>
              <a:defRPr/>
            </a:pPr>
            <a:r>
              <a:rPr lang="en-US" baseline="0">
                <a:solidFill>
                  <a:schemeClr val="tx1"/>
                </a:solidFill>
              </a:rPr>
              <a:t>90x2050 vs. Reference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'LEAP Scenario'!$M$19</c:f>
              <c:strCache>
                <c:ptCount val="1"/>
                <c:pt idx="0">
                  <c:v>Biodistillates</c:v>
                </c:pt>
              </c:strCache>
            </c:strRef>
          </c:tx>
          <c:spPr>
            <a:solidFill>
              <a:schemeClr val="accent1"/>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Scenario'!$N$19:$Q$19</c:f>
              <c:numCache>
                <c:formatCode>0</c:formatCode>
                <c:ptCount val="4"/>
                <c:pt idx="0">
                  <c:v>238.00000000000003</c:v>
                </c:pt>
                <c:pt idx="1">
                  <c:v>850.00000000000011</c:v>
                </c:pt>
                <c:pt idx="2">
                  <c:v>1394.0000000000002</c:v>
                </c:pt>
                <c:pt idx="3">
                  <c:v>2159.0000000000005</c:v>
                </c:pt>
              </c:numCache>
            </c:numRef>
          </c:val>
          <c:extLst>
            <c:ext xmlns:c16="http://schemas.microsoft.com/office/drawing/2014/chart" uri="{C3380CC4-5D6E-409C-BE32-E72D297353CC}">
              <c16:uniqueId val="{00000000-1EC6-4535-9994-BE2F9D26C6F5}"/>
            </c:ext>
          </c:extLst>
        </c:ser>
        <c:ser>
          <c:idx val="1"/>
          <c:order val="1"/>
          <c:tx>
            <c:strRef>
              <c:f>'LEAP Scenario'!$M$20</c:f>
              <c:strCache>
                <c:ptCount val="1"/>
                <c:pt idx="0">
                  <c:v>Cord Wood</c:v>
                </c:pt>
              </c:strCache>
            </c:strRef>
          </c:tx>
          <c:spPr>
            <a:solidFill>
              <a:schemeClr val="accent2"/>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Scenario'!$N$20:$Q$20</c:f>
              <c:numCache>
                <c:formatCode>0</c:formatCode>
                <c:ptCount val="4"/>
                <c:pt idx="0">
                  <c:v>31603</c:v>
                </c:pt>
                <c:pt idx="1">
                  <c:v>24990.000000000004</c:v>
                </c:pt>
                <c:pt idx="2">
                  <c:v>19176.000000000004</c:v>
                </c:pt>
                <c:pt idx="3">
                  <c:v>12750.000000000002</c:v>
                </c:pt>
              </c:numCache>
            </c:numRef>
          </c:val>
          <c:extLst>
            <c:ext xmlns:c16="http://schemas.microsoft.com/office/drawing/2014/chart" uri="{C3380CC4-5D6E-409C-BE32-E72D297353CC}">
              <c16:uniqueId val="{00000001-1EC6-4535-9994-BE2F9D26C6F5}"/>
            </c:ext>
          </c:extLst>
        </c:ser>
        <c:ser>
          <c:idx val="2"/>
          <c:order val="2"/>
          <c:tx>
            <c:strRef>
              <c:f>'LEAP Scenario'!$M$21</c:f>
              <c:strCache>
                <c:ptCount val="1"/>
                <c:pt idx="0">
                  <c:v>Electric Resistence</c:v>
                </c:pt>
              </c:strCache>
            </c:strRef>
          </c:tx>
          <c:spPr>
            <a:solidFill>
              <a:schemeClr val="accent3"/>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Scenario'!$N$21:$Q$21</c:f>
              <c:numCache>
                <c:formatCode>0</c:formatCode>
                <c:ptCount val="4"/>
                <c:pt idx="0">
                  <c:v>3519</c:v>
                </c:pt>
                <c:pt idx="1">
                  <c:v>3179.0000000000005</c:v>
                </c:pt>
                <c:pt idx="2">
                  <c:v>1734.0000000000002</c:v>
                </c:pt>
                <c:pt idx="3">
                  <c:v>527</c:v>
                </c:pt>
              </c:numCache>
            </c:numRef>
          </c:val>
          <c:extLst>
            <c:ext xmlns:c16="http://schemas.microsoft.com/office/drawing/2014/chart" uri="{C3380CC4-5D6E-409C-BE32-E72D297353CC}">
              <c16:uniqueId val="{00000002-1EC6-4535-9994-BE2F9D26C6F5}"/>
            </c:ext>
          </c:extLst>
        </c:ser>
        <c:ser>
          <c:idx val="3"/>
          <c:order val="3"/>
          <c:tx>
            <c:strRef>
              <c:f>'LEAP Scenario'!$M$22</c:f>
              <c:strCache>
                <c:ptCount val="1"/>
                <c:pt idx="0">
                  <c:v>Heat Pump</c:v>
                </c:pt>
              </c:strCache>
            </c:strRef>
          </c:tx>
          <c:spPr>
            <a:solidFill>
              <a:schemeClr val="accent4"/>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Scenario'!$N$22:$Q$22</c:f>
              <c:numCache>
                <c:formatCode>0</c:formatCode>
                <c:ptCount val="4"/>
                <c:pt idx="0">
                  <c:v>391</c:v>
                </c:pt>
                <c:pt idx="1">
                  <c:v>1870</c:v>
                </c:pt>
                <c:pt idx="2">
                  <c:v>3825</c:v>
                </c:pt>
                <c:pt idx="3">
                  <c:v>4590.0000000000009</c:v>
                </c:pt>
              </c:numCache>
            </c:numRef>
          </c:val>
          <c:extLst>
            <c:ext xmlns:c16="http://schemas.microsoft.com/office/drawing/2014/chart" uri="{C3380CC4-5D6E-409C-BE32-E72D297353CC}">
              <c16:uniqueId val="{00000003-1EC6-4535-9994-BE2F9D26C6F5}"/>
            </c:ext>
          </c:extLst>
        </c:ser>
        <c:ser>
          <c:idx val="4"/>
          <c:order val="4"/>
          <c:tx>
            <c:strRef>
              <c:f>'LEAP Scenario'!$M$23</c:f>
              <c:strCache>
                <c:ptCount val="1"/>
                <c:pt idx="0">
                  <c:v>Heat Pump Water Heater</c:v>
                </c:pt>
              </c:strCache>
            </c:strRef>
          </c:tx>
          <c:spPr>
            <a:solidFill>
              <a:srgbClr val="FF0000"/>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Scenario'!$N$23:$Q$23</c:f>
              <c:numCache>
                <c:formatCode>0</c:formatCode>
                <c:ptCount val="4"/>
                <c:pt idx="0">
                  <c:v>272</c:v>
                </c:pt>
                <c:pt idx="1">
                  <c:v>782</c:v>
                </c:pt>
                <c:pt idx="2">
                  <c:v>1530</c:v>
                </c:pt>
                <c:pt idx="3">
                  <c:v>2142.0000000000005</c:v>
                </c:pt>
              </c:numCache>
            </c:numRef>
          </c:val>
          <c:extLst>
            <c:ext xmlns:c16="http://schemas.microsoft.com/office/drawing/2014/chart" uri="{C3380CC4-5D6E-409C-BE32-E72D297353CC}">
              <c16:uniqueId val="{00000004-1EC6-4535-9994-BE2F9D26C6F5}"/>
            </c:ext>
          </c:extLst>
        </c:ser>
        <c:ser>
          <c:idx val="5"/>
          <c:order val="5"/>
          <c:tx>
            <c:strRef>
              <c:f>'LEAP Scenario'!$M$24</c:f>
              <c:strCache>
                <c:ptCount val="1"/>
                <c:pt idx="0">
                  <c:v>Kerosene</c:v>
                </c:pt>
              </c:strCache>
            </c:strRef>
          </c:tx>
          <c:spPr>
            <a:solidFill>
              <a:schemeClr val="accent6"/>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Scenario'!$N$24:$Q$24</c:f>
              <c:numCache>
                <c:formatCode>0</c:formatCode>
                <c:ptCount val="4"/>
                <c:pt idx="0">
                  <c:v>2040</c:v>
                </c:pt>
                <c:pt idx="1">
                  <c:v>2363</c:v>
                </c:pt>
                <c:pt idx="2">
                  <c:v>2737</c:v>
                </c:pt>
                <c:pt idx="3">
                  <c:v>0</c:v>
                </c:pt>
              </c:numCache>
            </c:numRef>
          </c:val>
          <c:extLst>
            <c:ext xmlns:c16="http://schemas.microsoft.com/office/drawing/2014/chart" uri="{C3380CC4-5D6E-409C-BE32-E72D297353CC}">
              <c16:uniqueId val="{00000005-1EC6-4535-9994-BE2F9D26C6F5}"/>
            </c:ext>
          </c:extLst>
        </c:ser>
        <c:ser>
          <c:idx val="6"/>
          <c:order val="6"/>
          <c:tx>
            <c:strRef>
              <c:f>'LEAP Scenario'!$M$25</c:f>
              <c:strCache>
                <c:ptCount val="1"/>
                <c:pt idx="0">
                  <c:v>LPG</c:v>
                </c:pt>
              </c:strCache>
            </c:strRef>
          </c:tx>
          <c:spPr>
            <a:solidFill>
              <a:schemeClr val="accent1">
                <a:lumMod val="60000"/>
              </a:schemeClr>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Scenario'!$N$25:$Q$25</c:f>
              <c:numCache>
                <c:formatCode>0</c:formatCode>
                <c:ptCount val="4"/>
                <c:pt idx="0">
                  <c:v>12019</c:v>
                </c:pt>
                <c:pt idx="1">
                  <c:v>9401</c:v>
                </c:pt>
                <c:pt idx="2">
                  <c:v>6018.0000000000009</c:v>
                </c:pt>
                <c:pt idx="3">
                  <c:v>2108</c:v>
                </c:pt>
              </c:numCache>
            </c:numRef>
          </c:val>
          <c:extLst>
            <c:ext xmlns:c16="http://schemas.microsoft.com/office/drawing/2014/chart" uri="{C3380CC4-5D6E-409C-BE32-E72D297353CC}">
              <c16:uniqueId val="{00000006-1EC6-4535-9994-BE2F9D26C6F5}"/>
            </c:ext>
          </c:extLst>
        </c:ser>
        <c:ser>
          <c:idx val="8"/>
          <c:order val="8"/>
          <c:tx>
            <c:strRef>
              <c:f>'LEAP Scenario'!$M$27</c:f>
              <c:strCache>
                <c:ptCount val="1"/>
                <c:pt idx="0">
                  <c:v>Oil</c:v>
                </c:pt>
              </c:strCache>
            </c:strRef>
          </c:tx>
          <c:spPr>
            <a:solidFill>
              <a:schemeClr val="accent3">
                <a:lumMod val="60000"/>
              </a:schemeClr>
            </a:solid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Scenario'!$N$27:$Q$27</c:f>
              <c:numCache>
                <c:formatCode>0</c:formatCode>
                <c:ptCount val="4"/>
                <c:pt idx="0">
                  <c:v>28798</c:v>
                </c:pt>
                <c:pt idx="1">
                  <c:v>19346</c:v>
                </c:pt>
                <c:pt idx="2">
                  <c:v>10217</c:v>
                </c:pt>
                <c:pt idx="3">
                  <c:v>0</c:v>
                </c:pt>
              </c:numCache>
            </c:numRef>
          </c:val>
          <c:extLst>
            <c:ext xmlns:c16="http://schemas.microsoft.com/office/drawing/2014/chart" uri="{C3380CC4-5D6E-409C-BE32-E72D297353CC}">
              <c16:uniqueId val="{00000008-1EC6-4535-9994-BE2F9D26C6F5}"/>
            </c:ext>
          </c:extLst>
        </c:ser>
        <c:ser>
          <c:idx val="9"/>
          <c:order val="9"/>
          <c:tx>
            <c:strRef>
              <c:f>'LEAP Scenario'!$M$28</c:f>
              <c:strCache>
                <c:ptCount val="1"/>
                <c:pt idx="0">
                  <c:v>Wood Pellets</c:v>
                </c:pt>
              </c:strCache>
            </c:strRef>
          </c:tx>
          <c:spPr>
            <a:pattFill prst="dkDnDiag">
              <a:fgClr>
                <a:schemeClr val="accent2">
                  <a:lumMod val="50000"/>
                </a:schemeClr>
              </a:fgClr>
              <a:bgClr>
                <a:schemeClr val="bg1"/>
              </a:bgClr>
            </a:pattFill>
            <a:ln>
              <a:noFill/>
            </a:ln>
            <a:effectLst/>
          </c:spPr>
          <c:invertIfNegative val="0"/>
          <c:cat>
            <c:numRef>
              <c:f>'LEAP Scenario'!$N$18:$Q$18</c:f>
              <c:numCache>
                <c:formatCode>General</c:formatCode>
                <c:ptCount val="4"/>
                <c:pt idx="0">
                  <c:v>2015</c:v>
                </c:pt>
                <c:pt idx="1">
                  <c:v>2025</c:v>
                </c:pt>
                <c:pt idx="2">
                  <c:v>2035</c:v>
                </c:pt>
                <c:pt idx="3">
                  <c:v>2050</c:v>
                </c:pt>
              </c:numCache>
            </c:numRef>
          </c:cat>
          <c:val>
            <c:numRef>
              <c:f>'LEAP Scenario'!$N$28:$Q$28</c:f>
              <c:numCache>
                <c:formatCode>0</c:formatCode>
                <c:ptCount val="4"/>
                <c:pt idx="0">
                  <c:v>5372.0000000000009</c:v>
                </c:pt>
                <c:pt idx="1">
                  <c:v>6001</c:v>
                </c:pt>
                <c:pt idx="2">
                  <c:v>5389</c:v>
                </c:pt>
                <c:pt idx="3">
                  <c:v>5032</c:v>
                </c:pt>
              </c:numCache>
            </c:numRef>
          </c:val>
          <c:extLst>
            <c:ext xmlns:c16="http://schemas.microsoft.com/office/drawing/2014/chart" uri="{C3380CC4-5D6E-409C-BE32-E72D297353CC}">
              <c16:uniqueId val="{00000009-1EC6-4535-9994-BE2F9D26C6F5}"/>
            </c:ext>
          </c:extLst>
        </c:ser>
        <c:ser>
          <c:idx val="10"/>
          <c:order val="10"/>
          <c:tx>
            <c:strRef>
              <c:f>'LEAP Scenario'!$M$29</c:f>
              <c:strCache>
                <c:ptCount val="1"/>
                <c:pt idx="0">
                  <c:v>Avoidance</c:v>
                </c:pt>
              </c:strCache>
            </c:strRef>
          </c:tx>
          <c:spPr>
            <a:noFill/>
            <a:ln>
              <a:solidFill>
                <a:schemeClr val="tx1"/>
              </a:solidFill>
              <a:prstDash val="sysDot"/>
            </a:ln>
            <a:effectLst/>
          </c:spPr>
          <c:invertIfNegative val="0"/>
          <c:cat>
            <c:numRef>
              <c:f>'LEAP Scenario'!$N$18:$Q$18</c:f>
              <c:numCache>
                <c:formatCode>General</c:formatCode>
                <c:ptCount val="4"/>
                <c:pt idx="0">
                  <c:v>2015</c:v>
                </c:pt>
                <c:pt idx="1">
                  <c:v>2025</c:v>
                </c:pt>
                <c:pt idx="2">
                  <c:v>2035</c:v>
                </c:pt>
                <c:pt idx="3">
                  <c:v>2050</c:v>
                </c:pt>
              </c:numCache>
            </c:numRef>
          </c:cat>
          <c:val>
            <c:numRef>
              <c:f>'LEAP Scenario'!$N$29:$Q$29</c:f>
              <c:numCache>
                <c:formatCode>_(* #,##0_);_(* \(#,##0\);_(* "-"??_);_(@_)</c:formatCode>
                <c:ptCount val="4"/>
                <c:pt idx="0">
                  <c:v>2227.0000000000005</c:v>
                </c:pt>
                <c:pt idx="1">
                  <c:v>3723.0000000000005</c:v>
                </c:pt>
                <c:pt idx="2">
                  <c:v>7888.0000000000009</c:v>
                </c:pt>
                <c:pt idx="3">
                  <c:v>11577</c:v>
                </c:pt>
              </c:numCache>
            </c:numRef>
          </c:val>
          <c:extLst>
            <c:ext xmlns:c16="http://schemas.microsoft.com/office/drawing/2014/chart" uri="{C3380CC4-5D6E-409C-BE32-E72D297353CC}">
              <c16:uniqueId val="{0000000A-1EC6-4535-9994-BE2F9D26C6F5}"/>
            </c:ext>
          </c:extLst>
        </c:ser>
        <c:dLbls>
          <c:showLegendKey val="0"/>
          <c:showVal val="0"/>
          <c:showCatName val="0"/>
          <c:showSerName val="0"/>
          <c:showPercent val="0"/>
          <c:showBubbleSize val="0"/>
        </c:dLbls>
        <c:gapWidth val="27"/>
        <c:overlap val="100"/>
        <c:axId val="132578760"/>
        <c:axId val="222947824"/>
        <c:extLst>
          <c:ext xmlns:c15="http://schemas.microsoft.com/office/drawing/2012/chart" uri="{02D57815-91ED-43cb-92C2-25804820EDAC}">
            <c15:filteredBarSeries>
              <c15:ser>
                <c:idx val="7"/>
                <c:order val="7"/>
                <c:tx>
                  <c:strRef>
                    <c:extLst>
                      <c:ext uri="{02D57815-91ED-43cb-92C2-25804820EDAC}">
                        <c15:formulaRef>
                          <c15:sqref>'LEAP Scenario'!$M$26</c15:sqref>
                        </c15:formulaRef>
                      </c:ext>
                    </c:extLst>
                    <c:strCache>
                      <c:ptCount val="1"/>
                      <c:pt idx="0">
                        <c:v>Natural Gas</c:v>
                      </c:pt>
                    </c:strCache>
                  </c:strRef>
                </c:tx>
                <c:spPr>
                  <a:solidFill>
                    <a:schemeClr val="accent2">
                      <a:lumMod val="60000"/>
                    </a:schemeClr>
                  </a:solidFill>
                  <a:ln>
                    <a:noFill/>
                  </a:ln>
                  <a:effectLst/>
                </c:spPr>
                <c:invertIfNegative val="0"/>
                <c:cat>
                  <c:numRef>
                    <c:extLst>
                      <c:ext uri="{02D57815-91ED-43cb-92C2-25804820EDAC}">
                        <c15:formulaRef>
                          <c15:sqref>'LEAP Scenario'!$N$18:$Q$18</c15:sqref>
                        </c15:formulaRef>
                      </c:ext>
                    </c:extLst>
                    <c:numCache>
                      <c:formatCode>General</c:formatCode>
                      <c:ptCount val="4"/>
                      <c:pt idx="0">
                        <c:v>2015</c:v>
                      </c:pt>
                      <c:pt idx="1">
                        <c:v>2025</c:v>
                      </c:pt>
                      <c:pt idx="2">
                        <c:v>2035</c:v>
                      </c:pt>
                      <c:pt idx="3">
                        <c:v>2050</c:v>
                      </c:pt>
                    </c:numCache>
                  </c:numRef>
                </c:cat>
                <c:val>
                  <c:numRef>
                    <c:extLst>
                      <c:ext uri="{02D57815-91ED-43cb-92C2-25804820EDAC}">
                        <c15:formulaRef>
                          <c15:sqref>'LEAP Scenario'!$N$26:$Q$26</c15:sqref>
                        </c15:formulaRef>
                      </c:ext>
                    </c:extLst>
                    <c:numCache>
                      <c:formatCode>0</c:formatCode>
                      <c:ptCount val="4"/>
                      <c:pt idx="0">
                        <c:v>0</c:v>
                      </c:pt>
                      <c:pt idx="1">
                        <c:v>0</c:v>
                      </c:pt>
                      <c:pt idx="2">
                        <c:v>0</c:v>
                      </c:pt>
                      <c:pt idx="3">
                        <c:v>0</c:v>
                      </c:pt>
                    </c:numCache>
                  </c:numRef>
                </c:val>
                <c:extLst>
                  <c:ext xmlns:c16="http://schemas.microsoft.com/office/drawing/2014/chart" uri="{C3380CC4-5D6E-409C-BE32-E72D297353CC}">
                    <c16:uniqueId val="{00000007-1EC6-4535-9994-BE2F9D26C6F5}"/>
                  </c:ext>
                </c:extLst>
              </c15:ser>
            </c15:filteredBarSeries>
          </c:ext>
        </c:extLst>
      </c:barChart>
      <c:catAx>
        <c:axId val="132578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22947824"/>
        <c:crosses val="autoZero"/>
        <c:auto val="1"/>
        <c:lblAlgn val="ctr"/>
        <c:lblOffset val="100"/>
        <c:noMultiLvlLbl val="0"/>
      </c:catAx>
      <c:valAx>
        <c:axId val="2229478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aseline="0">
                    <a:solidFill>
                      <a:schemeClr val="tx1"/>
                    </a:solidFill>
                  </a:rPr>
                  <a:t>In Millions of BTUs (MMBTUs)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32578760"/>
        <c:crosses val="autoZero"/>
        <c:crossBetween val="between"/>
      </c:valAx>
      <c:spPr>
        <a:noFill/>
        <a:ln>
          <a:noFill/>
        </a:ln>
        <a:effectLst/>
      </c:spPr>
    </c:plotArea>
    <c:legend>
      <c:legendPos val="r"/>
      <c:layout>
        <c:manualLayout>
          <c:xMode val="edge"/>
          <c:yMode val="edge"/>
          <c:x val="0.68143919510061246"/>
          <c:y val="0.39410044539375655"/>
          <c:w val="0.31856071642964717"/>
          <c:h val="0.548590405036694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solidFill>
                  <a:schemeClr val="tx1"/>
                </a:solidFill>
              </a:rPr>
              <a:t>Commercial Energy Consumption:</a:t>
            </a:r>
          </a:p>
          <a:p>
            <a:pPr>
              <a:defRPr/>
            </a:pPr>
            <a:r>
              <a:rPr lang="en-US" baseline="0">
                <a:solidFill>
                  <a:schemeClr val="tx1"/>
                </a:solidFill>
              </a:rPr>
              <a:t>90x2050 vs. Reference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'LEAP Scenario'!$M$51</c:f>
              <c:strCache>
                <c:ptCount val="1"/>
                <c:pt idx="0">
                  <c:v>Biofuel</c:v>
                </c:pt>
              </c:strCache>
            </c:strRef>
          </c:tx>
          <c:spPr>
            <a:solidFill>
              <a:schemeClr val="accent1"/>
            </a:solidFill>
            <a:ln>
              <a:no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Scenario'!$N$51:$Q$51</c:f>
              <c:numCache>
                <c:formatCode>General</c:formatCode>
                <c:ptCount val="4"/>
                <c:pt idx="0">
                  <c:v>152</c:v>
                </c:pt>
                <c:pt idx="1">
                  <c:v>930.99999999999989</c:v>
                </c:pt>
                <c:pt idx="2">
                  <c:v>1748</c:v>
                </c:pt>
                <c:pt idx="3">
                  <c:v>3116</c:v>
                </c:pt>
              </c:numCache>
            </c:numRef>
          </c:val>
          <c:extLst>
            <c:ext xmlns:c16="http://schemas.microsoft.com/office/drawing/2014/chart" uri="{C3380CC4-5D6E-409C-BE32-E72D297353CC}">
              <c16:uniqueId val="{00000000-F3BC-4D3C-B4B9-D76554E0F6FB}"/>
            </c:ext>
          </c:extLst>
        </c:ser>
        <c:ser>
          <c:idx val="1"/>
          <c:order val="1"/>
          <c:tx>
            <c:strRef>
              <c:f>'LEAP Scenario'!$M$52</c:f>
              <c:strCache>
                <c:ptCount val="1"/>
                <c:pt idx="0">
                  <c:v>Distillate Fuel Oil</c:v>
                </c:pt>
              </c:strCache>
            </c:strRef>
          </c:tx>
          <c:spPr>
            <a:solidFill>
              <a:schemeClr val="accent2"/>
            </a:solidFill>
            <a:ln>
              <a:no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Scenario'!$N$52:$Q$52</c:f>
              <c:numCache>
                <c:formatCode>General</c:formatCode>
                <c:ptCount val="4"/>
                <c:pt idx="0">
                  <c:v>7752</c:v>
                </c:pt>
                <c:pt idx="1">
                  <c:v>5776</c:v>
                </c:pt>
                <c:pt idx="2">
                  <c:v>3553</c:v>
                </c:pt>
                <c:pt idx="3">
                  <c:v>19</c:v>
                </c:pt>
              </c:numCache>
            </c:numRef>
          </c:val>
          <c:extLst>
            <c:ext xmlns:c16="http://schemas.microsoft.com/office/drawing/2014/chart" uri="{C3380CC4-5D6E-409C-BE32-E72D297353CC}">
              <c16:uniqueId val="{00000001-F3BC-4D3C-B4B9-D76554E0F6FB}"/>
            </c:ext>
          </c:extLst>
        </c:ser>
        <c:ser>
          <c:idx val="2"/>
          <c:order val="2"/>
          <c:tx>
            <c:strRef>
              <c:f>'LEAP Scenario'!$M$53</c:f>
              <c:strCache>
                <c:ptCount val="1"/>
                <c:pt idx="0">
                  <c:v>Electric Use</c:v>
                </c:pt>
              </c:strCache>
            </c:strRef>
          </c:tx>
          <c:spPr>
            <a:solidFill>
              <a:schemeClr val="accent6">
                <a:lumMod val="75000"/>
              </a:schemeClr>
            </a:solidFill>
            <a:ln>
              <a:no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Scenario'!$N$53:$Q$53</c:f>
              <c:numCache>
                <c:formatCode>General</c:formatCode>
                <c:ptCount val="4"/>
                <c:pt idx="0">
                  <c:v>14136</c:v>
                </c:pt>
                <c:pt idx="1">
                  <c:v>14003</c:v>
                </c:pt>
                <c:pt idx="2">
                  <c:v>13565.999999999998</c:v>
                </c:pt>
                <c:pt idx="3">
                  <c:v>13148</c:v>
                </c:pt>
              </c:numCache>
            </c:numRef>
          </c:val>
          <c:extLst>
            <c:ext xmlns:c16="http://schemas.microsoft.com/office/drawing/2014/chart" uri="{C3380CC4-5D6E-409C-BE32-E72D297353CC}">
              <c16:uniqueId val="{00000002-F3BC-4D3C-B4B9-D76554E0F6FB}"/>
            </c:ext>
          </c:extLst>
        </c:ser>
        <c:ser>
          <c:idx val="3"/>
          <c:order val="3"/>
          <c:tx>
            <c:strRef>
              <c:f>'LEAP Scenario'!$M$54</c:f>
              <c:strCache>
                <c:ptCount val="1"/>
                <c:pt idx="0">
                  <c:v>LPG</c:v>
                </c:pt>
              </c:strCache>
            </c:strRef>
          </c:tx>
          <c:spPr>
            <a:solidFill>
              <a:schemeClr val="accent5">
                <a:lumMod val="50000"/>
              </a:schemeClr>
            </a:solidFill>
            <a:ln>
              <a:no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Scenario'!$N$54:$Q$54</c:f>
              <c:numCache>
                <c:formatCode>General</c:formatCode>
                <c:ptCount val="4"/>
                <c:pt idx="0">
                  <c:v>5681</c:v>
                </c:pt>
                <c:pt idx="1">
                  <c:v>4902</c:v>
                </c:pt>
                <c:pt idx="2">
                  <c:v>3971</c:v>
                </c:pt>
                <c:pt idx="3">
                  <c:v>2527</c:v>
                </c:pt>
              </c:numCache>
            </c:numRef>
          </c:val>
          <c:extLst>
            <c:ext xmlns:c16="http://schemas.microsoft.com/office/drawing/2014/chart" uri="{C3380CC4-5D6E-409C-BE32-E72D297353CC}">
              <c16:uniqueId val="{00000003-F3BC-4D3C-B4B9-D76554E0F6FB}"/>
            </c:ext>
          </c:extLst>
        </c:ser>
        <c:ser>
          <c:idx val="5"/>
          <c:order val="4"/>
          <c:tx>
            <c:strRef>
              <c:f>'LEAP Scenario'!$M$56</c:f>
              <c:strCache>
                <c:ptCount val="1"/>
                <c:pt idx="0">
                  <c:v>Residual Fuel Oil</c:v>
                </c:pt>
              </c:strCache>
            </c:strRef>
          </c:tx>
          <c:spPr>
            <a:solidFill>
              <a:schemeClr val="tx1">
                <a:lumMod val="65000"/>
                <a:lumOff val="35000"/>
              </a:schemeClr>
            </a:solidFill>
            <a:ln>
              <a:no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Scenario'!$N$56:$Q$56</c:f>
              <c:numCache>
                <c:formatCode>General</c:formatCode>
                <c:ptCount val="4"/>
                <c:pt idx="0">
                  <c:v>797.99999999999989</c:v>
                </c:pt>
                <c:pt idx="1">
                  <c:v>589</c:v>
                </c:pt>
                <c:pt idx="2">
                  <c:v>361</c:v>
                </c:pt>
                <c:pt idx="3">
                  <c:v>0</c:v>
                </c:pt>
              </c:numCache>
            </c:numRef>
          </c:val>
          <c:extLst>
            <c:ext xmlns:c16="http://schemas.microsoft.com/office/drawing/2014/chart" uri="{C3380CC4-5D6E-409C-BE32-E72D297353CC}">
              <c16:uniqueId val="{00000005-F3BC-4D3C-B4B9-D76554E0F6FB}"/>
            </c:ext>
          </c:extLst>
        </c:ser>
        <c:ser>
          <c:idx val="6"/>
          <c:order val="5"/>
          <c:tx>
            <c:strRef>
              <c:f>'LEAP Scenario'!$M$57</c:f>
              <c:strCache>
                <c:ptCount val="1"/>
                <c:pt idx="0">
                  <c:v>Wood and wood waste consumption</c:v>
                </c:pt>
              </c:strCache>
            </c:strRef>
          </c:tx>
          <c:spPr>
            <a:pattFill prst="dkDnDiag">
              <a:fgClr>
                <a:schemeClr val="accent2">
                  <a:lumMod val="50000"/>
                </a:schemeClr>
              </a:fgClr>
              <a:bgClr>
                <a:schemeClr val="bg1"/>
              </a:bgClr>
            </a:pattFill>
            <a:ln>
              <a:no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Scenario'!$N$57:$Q$57</c:f>
              <c:numCache>
                <c:formatCode>General</c:formatCode>
                <c:ptCount val="4"/>
                <c:pt idx="0">
                  <c:v>2679</c:v>
                </c:pt>
                <c:pt idx="1">
                  <c:v>3667</c:v>
                </c:pt>
                <c:pt idx="2">
                  <c:v>4636</c:v>
                </c:pt>
                <c:pt idx="3">
                  <c:v>6308</c:v>
                </c:pt>
              </c:numCache>
            </c:numRef>
          </c:val>
          <c:extLst>
            <c:ext xmlns:c16="http://schemas.microsoft.com/office/drawing/2014/chart" uri="{C3380CC4-5D6E-409C-BE32-E72D297353CC}">
              <c16:uniqueId val="{00000006-F3BC-4D3C-B4B9-D76554E0F6FB}"/>
            </c:ext>
          </c:extLst>
        </c:ser>
        <c:ser>
          <c:idx val="7"/>
          <c:order val="6"/>
          <c:tx>
            <c:strRef>
              <c:f>'LEAP Scenario'!$M$58</c:f>
              <c:strCache>
                <c:ptCount val="1"/>
                <c:pt idx="0">
                  <c:v>Avoidance</c:v>
                </c:pt>
              </c:strCache>
            </c:strRef>
          </c:tx>
          <c:spPr>
            <a:noFill/>
            <a:ln>
              <a:solidFill>
                <a:schemeClr val="tx1"/>
              </a:solidFill>
            </a:ln>
            <a:effectLst/>
          </c:spPr>
          <c:invertIfNegative val="0"/>
          <c:cat>
            <c:numRef>
              <c:f>'LEAP Scenario'!$N$50:$Q$50</c:f>
              <c:numCache>
                <c:formatCode>General</c:formatCode>
                <c:ptCount val="4"/>
                <c:pt idx="0">
                  <c:v>2015</c:v>
                </c:pt>
                <c:pt idx="1">
                  <c:v>2025</c:v>
                </c:pt>
                <c:pt idx="2">
                  <c:v>2035</c:v>
                </c:pt>
                <c:pt idx="3">
                  <c:v>2050</c:v>
                </c:pt>
              </c:numCache>
            </c:numRef>
          </c:cat>
          <c:val>
            <c:numRef>
              <c:f>'LEAP Scenario'!$N$58:$Q$58</c:f>
              <c:numCache>
                <c:formatCode>General</c:formatCode>
                <c:ptCount val="4"/>
                <c:pt idx="0">
                  <c:v>266</c:v>
                </c:pt>
                <c:pt idx="1">
                  <c:v>1653</c:v>
                </c:pt>
                <c:pt idx="2">
                  <c:v>3135</c:v>
                </c:pt>
                <c:pt idx="3">
                  <c:v>5567</c:v>
                </c:pt>
              </c:numCache>
            </c:numRef>
          </c:val>
          <c:extLst>
            <c:ext xmlns:c16="http://schemas.microsoft.com/office/drawing/2014/chart" uri="{C3380CC4-5D6E-409C-BE32-E72D297353CC}">
              <c16:uniqueId val="{00000007-F3BC-4D3C-B4B9-D76554E0F6FB}"/>
            </c:ext>
          </c:extLst>
        </c:ser>
        <c:dLbls>
          <c:showLegendKey val="0"/>
          <c:showVal val="0"/>
          <c:showCatName val="0"/>
          <c:showSerName val="0"/>
          <c:showPercent val="0"/>
          <c:showBubbleSize val="0"/>
        </c:dLbls>
        <c:gapWidth val="150"/>
        <c:overlap val="100"/>
        <c:axId val="222947040"/>
        <c:axId val="222948216"/>
      </c:barChart>
      <c:catAx>
        <c:axId val="222947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22948216"/>
        <c:crosses val="autoZero"/>
        <c:auto val="1"/>
        <c:lblAlgn val="ctr"/>
        <c:lblOffset val="100"/>
        <c:noMultiLvlLbl val="0"/>
      </c:catAx>
      <c:valAx>
        <c:axId val="222948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solidFill>
                      <a:schemeClr val="tx1"/>
                    </a:solidFill>
                  </a:rPr>
                  <a:t>In Millions of BTUs (MMBTUs)</a:t>
                </a:r>
              </a:p>
            </c:rich>
          </c:tx>
          <c:layout>
            <c:manualLayout>
              <c:xMode val="edge"/>
              <c:yMode val="edge"/>
              <c:x val="2.7923214238992373E-2"/>
              <c:y val="0.2754019039087904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229470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solidFill>
                  <a:schemeClr val="tx1"/>
                </a:solidFill>
              </a:rPr>
              <a:t>Light Duty Vehicle Energy Consumption:</a:t>
            </a:r>
          </a:p>
          <a:p>
            <a:pPr>
              <a:defRPr/>
            </a:pPr>
            <a:r>
              <a:rPr lang="en-US" baseline="0">
                <a:solidFill>
                  <a:schemeClr val="tx1"/>
                </a:solidFill>
              </a:rPr>
              <a:t>90x2050 vs. Reference</a:t>
            </a:r>
          </a:p>
        </c:rich>
      </c:tx>
      <c:layout>
        <c:manualLayout>
          <c:xMode val="edge"/>
          <c:yMode val="edge"/>
          <c:x val="0.16901240423948646"/>
          <c:y val="3.24745299594890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'LEAP Scenario'!$M$64</c:f>
              <c:strCache>
                <c:ptCount val="1"/>
                <c:pt idx="0">
                  <c:v>Gasoline</c:v>
                </c:pt>
              </c:strCache>
            </c:strRef>
          </c:tx>
          <c:spPr>
            <a:solidFill>
              <a:schemeClr val="tx1">
                <a:lumMod val="65000"/>
                <a:lumOff val="35000"/>
              </a:schemeClr>
            </a:solidFill>
            <a:ln>
              <a:noFill/>
            </a:ln>
            <a:effectLst/>
          </c:spPr>
          <c:invertIfNegative val="0"/>
          <c:cat>
            <c:numRef>
              <c:f>'LEAP Scenario'!$N$63:$Q$63</c:f>
              <c:numCache>
                <c:formatCode>General</c:formatCode>
                <c:ptCount val="4"/>
                <c:pt idx="0">
                  <c:v>2015</c:v>
                </c:pt>
                <c:pt idx="1">
                  <c:v>2025</c:v>
                </c:pt>
                <c:pt idx="2">
                  <c:v>2035</c:v>
                </c:pt>
                <c:pt idx="3">
                  <c:v>2050</c:v>
                </c:pt>
              </c:numCache>
            </c:numRef>
          </c:cat>
          <c:val>
            <c:numRef>
              <c:f>'LEAP Scenario'!$N$64:$Q$64</c:f>
              <c:numCache>
                <c:formatCode>General</c:formatCode>
                <c:ptCount val="4"/>
                <c:pt idx="0">
                  <c:v>55537</c:v>
                </c:pt>
                <c:pt idx="1">
                  <c:v>39786</c:v>
                </c:pt>
                <c:pt idx="2">
                  <c:v>22154</c:v>
                </c:pt>
                <c:pt idx="3">
                  <c:v>1728.9999999999998</c:v>
                </c:pt>
              </c:numCache>
            </c:numRef>
          </c:val>
          <c:extLst>
            <c:ext xmlns:c16="http://schemas.microsoft.com/office/drawing/2014/chart" uri="{C3380CC4-5D6E-409C-BE32-E72D297353CC}">
              <c16:uniqueId val="{00000000-C9AB-43CE-BA79-140DA33CDD44}"/>
            </c:ext>
          </c:extLst>
        </c:ser>
        <c:ser>
          <c:idx val="1"/>
          <c:order val="1"/>
          <c:tx>
            <c:strRef>
              <c:f>'LEAP Scenario'!$M$65</c:f>
              <c:strCache>
                <c:ptCount val="1"/>
                <c:pt idx="0">
                  <c:v>Ethanol</c:v>
                </c:pt>
              </c:strCache>
            </c:strRef>
          </c:tx>
          <c:spPr>
            <a:solidFill>
              <a:schemeClr val="accent2"/>
            </a:solidFill>
            <a:ln>
              <a:noFill/>
            </a:ln>
            <a:effectLst/>
          </c:spPr>
          <c:invertIfNegative val="0"/>
          <c:cat>
            <c:numRef>
              <c:f>'LEAP Scenario'!$N$63:$Q$63</c:f>
              <c:numCache>
                <c:formatCode>General</c:formatCode>
                <c:ptCount val="4"/>
                <c:pt idx="0">
                  <c:v>2015</c:v>
                </c:pt>
                <c:pt idx="1">
                  <c:v>2025</c:v>
                </c:pt>
                <c:pt idx="2">
                  <c:v>2035</c:v>
                </c:pt>
                <c:pt idx="3">
                  <c:v>2050</c:v>
                </c:pt>
              </c:numCache>
            </c:numRef>
          </c:cat>
          <c:val>
            <c:numRef>
              <c:f>'LEAP Scenario'!$N$65:$Q$65</c:f>
              <c:numCache>
                <c:formatCode>General</c:formatCode>
                <c:ptCount val="4"/>
                <c:pt idx="0">
                  <c:v>7410</c:v>
                </c:pt>
                <c:pt idx="1">
                  <c:v>4939.9999999999991</c:v>
                </c:pt>
                <c:pt idx="2">
                  <c:v>2679</c:v>
                </c:pt>
                <c:pt idx="3">
                  <c:v>304</c:v>
                </c:pt>
              </c:numCache>
            </c:numRef>
          </c:val>
          <c:extLst>
            <c:ext xmlns:c16="http://schemas.microsoft.com/office/drawing/2014/chart" uri="{C3380CC4-5D6E-409C-BE32-E72D297353CC}">
              <c16:uniqueId val="{00000001-C9AB-43CE-BA79-140DA33CDD44}"/>
            </c:ext>
          </c:extLst>
        </c:ser>
        <c:ser>
          <c:idx val="2"/>
          <c:order val="2"/>
          <c:tx>
            <c:strRef>
              <c:f>'LEAP Scenario'!$M$66</c:f>
              <c:strCache>
                <c:ptCount val="1"/>
                <c:pt idx="0">
                  <c:v>Electricity</c:v>
                </c:pt>
              </c:strCache>
            </c:strRef>
          </c:tx>
          <c:spPr>
            <a:solidFill>
              <a:schemeClr val="accent6">
                <a:lumMod val="75000"/>
              </a:schemeClr>
            </a:solidFill>
            <a:ln>
              <a:noFill/>
            </a:ln>
            <a:effectLst/>
          </c:spPr>
          <c:invertIfNegative val="0"/>
          <c:cat>
            <c:numRef>
              <c:f>'LEAP Scenario'!$N$63:$Q$63</c:f>
              <c:numCache>
                <c:formatCode>General</c:formatCode>
                <c:ptCount val="4"/>
                <c:pt idx="0">
                  <c:v>2015</c:v>
                </c:pt>
                <c:pt idx="1">
                  <c:v>2025</c:v>
                </c:pt>
                <c:pt idx="2">
                  <c:v>2035</c:v>
                </c:pt>
                <c:pt idx="3">
                  <c:v>2050</c:v>
                </c:pt>
              </c:numCache>
            </c:numRef>
          </c:cat>
          <c:val>
            <c:numRef>
              <c:f>'LEAP Scenario'!$N$66:$Q$66</c:f>
              <c:numCache>
                <c:formatCode>General</c:formatCode>
                <c:ptCount val="4"/>
                <c:pt idx="0">
                  <c:v>56.999999999999993</c:v>
                </c:pt>
                <c:pt idx="1">
                  <c:v>1558</c:v>
                </c:pt>
                <c:pt idx="2">
                  <c:v>4522</c:v>
                </c:pt>
                <c:pt idx="3">
                  <c:v>8759</c:v>
                </c:pt>
              </c:numCache>
            </c:numRef>
          </c:val>
          <c:extLst>
            <c:ext xmlns:c16="http://schemas.microsoft.com/office/drawing/2014/chart" uri="{C3380CC4-5D6E-409C-BE32-E72D297353CC}">
              <c16:uniqueId val="{00000002-C9AB-43CE-BA79-140DA33CDD44}"/>
            </c:ext>
          </c:extLst>
        </c:ser>
        <c:ser>
          <c:idx val="3"/>
          <c:order val="3"/>
          <c:tx>
            <c:strRef>
              <c:f>'LEAP Scenario'!$M$67</c:f>
              <c:strCache>
                <c:ptCount val="1"/>
                <c:pt idx="0">
                  <c:v>Diesel</c:v>
                </c:pt>
              </c:strCache>
            </c:strRef>
          </c:tx>
          <c:spPr>
            <a:solidFill>
              <a:schemeClr val="accent4"/>
            </a:solidFill>
            <a:ln>
              <a:noFill/>
            </a:ln>
            <a:effectLst/>
          </c:spPr>
          <c:invertIfNegative val="0"/>
          <c:cat>
            <c:numRef>
              <c:f>'LEAP Scenario'!$N$63:$Q$63</c:f>
              <c:numCache>
                <c:formatCode>General</c:formatCode>
                <c:ptCount val="4"/>
                <c:pt idx="0">
                  <c:v>2015</c:v>
                </c:pt>
                <c:pt idx="1">
                  <c:v>2025</c:v>
                </c:pt>
                <c:pt idx="2">
                  <c:v>2035</c:v>
                </c:pt>
                <c:pt idx="3">
                  <c:v>2050</c:v>
                </c:pt>
              </c:numCache>
            </c:numRef>
          </c:cat>
          <c:val>
            <c:numRef>
              <c:f>'LEAP Scenario'!$N$67:$Q$67</c:f>
              <c:numCache>
                <c:formatCode>General</c:formatCode>
                <c:ptCount val="4"/>
                <c:pt idx="0">
                  <c:v>1861.9999999999998</c:v>
                </c:pt>
                <c:pt idx="1">
                  <c:v>1159</c:v>
                </c:pt>
                <c:pt idx="2">
                  <c:v>627</c:v>
                </c:pt>
                <c:pt idx="3">
                  <c:v>19</c:v>
                </c:pt>
              </c:numCache>
            </c:numRef>
          </c:val>
          <c:extLst>
            <c:ext xmlns:c16="http://schemas.microsoft.com/office/drawing/2014/chart" uri="{C3380CC4-5D6E-409C-BE32-E72D297353CC}">
              <c16:uniqueId val="{00000003-C9AB-43CE-BA79-140DA33CDD44}"/>
            </c:ext>
          </c:extLst>
        </c:ser>
        <c:ser>
          <c:idx val="4"/>
          <c:order val="4"/>
          <c:tx>
            <c:strRef>
              <c:f>'LEAP Scenario'!$M$68</c:f>
              <c:strCache>
                <c:ptCount val="1"/>
                <c:pt idx="0">
                  <c:v>Biodiesel</c:v>
                </c:pt>
              </c:strCache>
            </c:strRef>
          </c:tx>
          <c:spPr>
            <a:solidFill>
              <a:schemeClr val="accent5"/>
            </a:solidFill>
            <a:ln>
              <a:noFill/>
            </a:ln>
            <a:effectLst/>
          </c:spPr>
          <c:invertIfNegative val="0"/>
          <c:cat>
            <c:numRef>
              <c:f>'LEAP Scenario'!$N$63:$Q$63</c:f>
              <c:numCache>
                <c:formatCode>General</c:formatCode>
                <c:ptCount val="4"/>
                <c:pt idx="0">
                  <c:v>2015</c:v>
                </c:pt>
                <c:pt idx="1">
                  <c:v>2025</c:v>
                </c:pt>
                <c:pt idx="2">
                  <c:v>2035</c:v>
                </c:pt>
                <c:pt idx="3">
                  <c:v>2050</c:v>
                </c:pt>
              </c:numCache>
            </c:numRef>
          </c:cat>
          <c:val>
            <c:numRef>
              <c:f>'LEAP Scenario'!$N$68:$Q$68</c:f>
              <c:numCache>
                <c:formatCode>General</c:formatCode>
                <c:ptCount val="4"/>
                <c:pt idx="0">
                  <c:v>152</c:v>
                </c:pt>
                <c:pt idx="1">
                  <c:v>722</c:v>
                </c:pt>
                <c:pt idx="2">
                  <c:v>1159</c:v>
                </c:pt>
                <c:pt idx="3">
                  <c:v>1653</c:v>
                </c:pt>
              </c:numCache>
            </c:numRef>
          </c:val>
          <c:extLst>
            <c:ext xmlns:c16="http://schemas.microsoft.com/office/drawing/2014/chart" uri="{C3380CC4-5D6E-409C-BE32-E72D297353CC}">
              <c16:uniqueId val="{00000004-C9AB-43CE-BA79-140DA33CDD44}"/>
            </c:ext>
          </c:extLst>
        </c:ser>
        <c:ser>
          <c:idx val="5"/>
          <c:order val="5"/>
          <c:tx>
            <c:strRef>
              <c:f>'LEAP Scenario'!$M$69</c:f>
              <c:strCache>
                <c:ptCount val="1"/>
                <c:pt idx="0">
                  <c:v>Avoidance</c:v>
                </c:pt>
              </c:strCache>
            </c:strRef>
          </c:tx>
          <c:spPr>
            <a:noFill/>
            <a:ln>
              <a:solidFill>
                <a:schemeClr val="tx1"/>
              </a:solidFill>
            </a:ln>
            <a:effectLst/>
          </c:spPr>
          <c:invertIfNegative val="0"/>
          <c:cat>
            <c:numRef>
              <c:f>'LEAP Scenario'!$N$63:$Q$63</c:f>
              <c:numCache>
                <c:formatCode>General</c:formatCode>
                <c:ptCount val="4"/>
                <c:pt idx="0">
                  <c:v>2015</c:v>
                </c:pt>
                <c:pt idx="1">
                  <c:v>2025</c:v>
                </c:pt>
                <c:pt idx="2">
                  <c:v>2035</c:v>
                </c:pt>
                <c:pt idx="3">
                  <c:v>2050</c:v>
                </c:pt>
              </c:numCache>
            </c:numRef>
          </c:cat>
          <c:val>
            <c:numRef>
              <c:f>'LEAP Scenario'!$N$69:$Q$69</c:f>
              <c:numCache>
                <c:formatCode>General</c:formatCode>
                <c:ptCount val="4"/>
                <c:pt idx="1">
                  <c:v>5016</c:v>
                </c:pt>
                <c:pt idx="2">
                  <c:v>14516</c:v>
                </c:pt>
                <c:pt idx="3">
                  <c:v>26258</c:v>
                </c:pt>
              </c:numCache>
            </c:numRef>
          </c:val>
          <c:extLst>
            <c:ext xmlns:c16="http://schemas.microsoft.com/office/drawing/2014/chart" uri="{C3380CC4-5D6E-409C-BE32-E72D297353CC}">
              <c16:uniqueId val="{00000005-C9AB-43CE-BA79-140DA33CDD44}"/>
            </c:ext>
          </c:extLst>
        </c:ser>
        <c:dLbls>
          <c:showLegendKey val="0"/>
          <c:showVal val="0"/>
          <c:showCatName val="0"/>
          <c:showSerName val="0"/>
          <c:showPercent val="0"/>
          <c:showBubbleSize val="0"/>
        </c:dLbls>
        <c:gapWidth val="150"/>
        <c:overlap val="100"/>
        <c:axId val="438598168"/>
        <c:axId val="438599736"/>
      </c:barChart>
      <c:catAx>
        <c:axId val="438598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38599736"/>
        <c:crosses val="autoZero"/>
        <c:auto val="1"/>
        <c:lblAlgn val="ctr"/>
        <c:lblOffset val="100"/>
        <c:noMultiLvlLbl val="0"/>
      </c:catAx>
      <c:valAx>
        <c:axId val="438599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chemeClr val="tx1"/>
                    </a:solidFill>
                  </a:rPr>
                  <a:t>In</a:t>
                </a:r>
                <a:r>
                  <a:rPr lang="en-US" baseline="0">
                    <a:solidFill>
                      <a:schemeClr val="tx1"/>
                    </a:solidFill>
                  </a:rPr>
                  <a:t> Millions of BTUs (MMBTUs)</a:t>
                </a:r>
                <a:endParaRPr lang="en-US">
                  <a:solidFill>
                    <a:schemeClr val="tx1"/>
                  </a:solidFill>
                </a:endParaRPr>
              </a:p>
            </c:rich>
          </c:tx>
          <c:layout>
            <c:manualLayout>
              <c:xMode val="edge"/>
              <c:yMode val="edge"/>
              <c:x val="2.7902343555184794E-2"/>
              <c:y val="0.258884834138803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385981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130968</xdr:colOff>
      <xdr:row>9</xdr:row>
      <xdr:rowOff>11907</xdr:rowOff>
    </xdr:from>
    <xdr:to>
      <xdr:col>11</xdr:col>
      <xdr:colOff>392905</xdr:colOff>
      <xdr:row>12</xdr:row>
      <xdr:rowOff>178594</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8179593" y="2024063"/>
          <a:ext cx="261937" cy="73818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p>
      </xdr:txBody>
    </xdr:sp>
    <xdr:clientData/>
  </xdr:twoCellAnchor>
  <xdr:twoCellAnchor>
    <xdr:from>
      <xdr:col>11</xdr:col>
      <xdr:colOff>120765</xdr:colOff>
      <xdr:row>15</xdr:row>
      <xdr:rowOff>27213</xdr:rowOff>
    </xdr:from>
    <xdr:to>
      <xdr:col>11</xdr:col>
      <xdr:colOff>367392</xdr:colOff>
      <xdr:row>18</xdr:row>
      <xdr:rowOff>149678</xdr:rowOff>
    </xdr:to>
    <xdr:sp macro="" textlink="">
      <xdr:nvSpPr>
        <xdr:cNvPr id="3" name="Right Brace 2">
          <a:extLst>
            <a:ext uri="{FF2B5EF4-FFF2-40B4-BE49-F238E27FC236}">
              <a16:creationId xmlns:a16="http://schemas.microsoft.com/office/drawing/2014/main" id="{00000000-0008-0000-0400-000003000000}"/>
            </a:ext>
          </a:extLst>
        </xdr:cNvPr>
        <xdr:cNvSpPr/>
      </xdr:nvSpPr>
      <xdr:spPr>
        <a:xfrm>
          <a:off x="9985944" y="3184070"/>
          <a:ext cx="246627" cy="69396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35719</xdr:colOff>
      <xdr:row>9</xdr:row>
      <xdr:rowOff>47625</xdr:rowOff>
    </xdr:from>
    <xdr:to>
      <xdr:col>11</xdr:col>
      <xdr:colOff>297656</xdr:colOff>
      <xdr:row>13</xdr:row>
      <xdr:rowOff>23812</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8620125" y="2238375"/>
          <a:ext cx="261937" cy="738187"/>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416718</xdr:colOff>
      <xdr:row>13</xdr:row>
      <xdr:rowOff>9524</xdr:rowOff>
    </xdr:from>
    <xdr:to>
      <xdr:col>23</xdr:col>
      <xdr:colOff>440530</xdr:colOff>
      <xdr:row>47</xdr:row>
      <xdr:rowOff>71437</xdr:rowOff>
    </xdr:to>
    <xdr:graphicFrame macro="">
      <xdr:nvGraphicFramePr>
        <xdr:cNvPr id="3" name="Chart 2">
          <a:extLst>
            <a:ext uri="{FF2B5EF4-FFF2-40B4-BE49-F238E27FC236}">
              <a16:creationId xmlns:a16="http://schemas.microsoft.com/office/drawing/2014/main" id="{8A62CF41-3035-4B51-8B13-426CC88D40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29766</xdr:colOff>
      <xdr:row>47</xdr:row>
      <xdr:rowOff>571500</xdr:rowOff>
    </xdr:from>
    <xdr:to>
      <xdr:col>23</xdr:col>
      <xdr:colOff>53578</xdr:colOff>
      <xdr:row>59</xdr:row>
      <xdr:rowOff>103188</xdr:rowOff>
    </xdr:to>
    <xdr:graphicFrame macro="">
      <xdr:nvGraphicFramePr>
        <xdr:cNvPr id="4" name="Chart 3">
          <a:extLst>
            <a:ext uri="{FF2B5EF4-FFF2-40B4-BE49-F238E27FC236}">
              <a16:creationId xmlns:a16="http://schemas.microsoft.com/office/drawing/2014/main" id="{C36273F0-D26E-42A8-9411-BA3C1F1391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6803</xdr:colOff>
      <xdr:row>60</xdr:row>
      <xdr:rowOff>29936</xdr:rowOff>
    </xdr:from>
    <xdr:to>
      <xdr:col>23</xdr:col>
      <xdr:colOff>34017</xdr:colOff>
      <xdr:row>74</xdr:row>
      <xdr:rowOff>92529</xdr:rowOff>
    </xdr:to>
    <xdr:graphicFrame macro="">
      <xdr:nvGraphicFramePr>
        <xdr:cNvPr id="5" name="Chart 4">
          <a:extLst>
            <a:ext uri="{FF2B5EF4-FFF2-40B4-BE49-F238E27FC236}">
              <a16:creationId xmlns:a16="http://schemas.microsoft.com/office/drawing/2014/main" id="{4255AD51-F73E-45E7-A5B9-FF29E6A812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id="1" name="town_population" displayName="town_population" ref="A1:E256" totalsRowShown="0" headerRowCellStyle="Normal 9" dataCellStyle="Normal 9">
  <sortState ref="A2:E256">
    <sortCondition ref="A1:A256"/>
  </sortState>
  <tableColumns count="5">
    <tableColumn id="1" name="Municipality" dataCellStyle="Normal 9"/>
    <tableColumn id="2" name="Regional Planning Commission" dataCellStyle="Normal 9"/>
    <tableColumn id="3" name="2014 Population" dataCellStyle="Normal 9"/>
    <tableColumn id="4" name="Pop Share of State" dataDxfId="22" dataCellStyle="Percent">
      <calculatedColumnFormula>C2/SUM($C$2:$C$256)</calculatedColumnFormula>
    </tableColumn>
    <tableColumn id="5" name="Pop Share of Region" dataCellStyle="Percent">
      <calculatedColumnFormula>town_population[[#This Row],[Pop Share of State]]/(INDEX(regional_population[Pop Share of State],MATCH(town_population[[#This Row],[Regional Planning Commission]],regional_population[Regional Planning Commission],0)))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regional_population" displayName="regional_population" ref="G1:H12" totalsRowShown="0">
  <sortState ref="G2:H12">
    <sortCondition ref="G1:G12"/>
  </sortState>
  <tableColumns count="2">
    <tableColumn id="1" name="Regional Planning Commission"/>
    <tableColumn id="2" name="Pop Share of State" dataDxfId="21" dataCellStyle="Percent">
      <calculatedColumnFormula>SUMIF(town_population[Regional Planning Commission],G2,town_population[Pop Share of State])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3" name="town_establishments" displayName="town_establishments" ref="A2:AH250" totalsRowShown="0" headerRowDxfId="20" dataDxfId="19" dataCellStyle="Percent">
  <tableColumns count="34">
    <tableColumn id="1" name="Municipality"/>
    <tableColumn id="32" name="Regional Planning Commission" dataDxfId="18">
      <calculatedColumnFormula>INDEX(town_population[Regional Planning Commission],MATCH(town_establishments[[#This Row],[Municipality]],town_population[Municipality],0))</calculatedColumnFormula>
    </tableColumn>
    <tableColumn id="2" name="42. Wholesale trade"/>
    <tableColumn id="3" name="44-45. Retail trade"/>
    <tableColumn id="4" name="48-49. Transportation and warehousing"/>
    <tableColumn id="5" name="51. Information"/>
    <tableColumn id="6" name="52. Finance and insurance"/>
    <tableColumn id="7" name="53. Real estate and rental and leasing"/>
    <tableColumn id="8" name="54. Professional and technical services"/>
    <tableColumn id="9" name="55. Management of companies and enterprises"/>
    <tableColumn id="10" name="56. Administrative and waste services"/>
    <tableColumn id="11" name="61. Educational services"/>
    <tableColumn id="12" name="62. Health care and social assistance"/>
    <tableColumn id="13" name="71. Arts, entertainment, and recreation"/>
    <tableColumn id="14" name="72. Accommodation and food services"/>
    <tableColumn id="15" name="81. Other services, except public administration"/>
    <tableColumn id="16" name="TOTAL">
      <calculatedColumnFormula>SUM(C3:P3)</calculatedColumnFormula>
    </tableColumn>
    <tableColumn id="17" name="42. Wholesale trade2" dataDxfId="17" dataCellStyle="Percent">
      <calculatedColumnFormula>IF($Q3&lt;&gt;0,C3/$Q3,0)</calculatedColumnFormula>
    </tableColumn>
    <tableColumn id="18" name="44-45. Retail trade3" dataDxfId="16" dataCellStyle="Percent">
      <calculatedColumnFormula>IF($Q3&lt;&gt;0,D3/$Q3,0)</calculatedColumnFormula>
    </tableColumn>
    <tableColumn id="19" name="48-49. Transportation and warehousing4" dataDxfId="15" dataCellStyle="Percent">
      <calculatedColumnFormula>IF($Q3&lt;&gt;0,E3/$Q3,0)</calculatedColumnFormula>
    </tableColumn>
    <tableColumn id="20" name="51. Information5" dataDxfId="14" dataCellStyle="Percent">
      <calculatedColumnFormula>IF($Q3&lt;&gt;0,F3/$Q3,0)</calculatedColumnFormula>
    </tableColumn>
    <tableColumn id="21" name="52. Finance and insurance6" dataDxfId="13" dataCellStyle="Percent">
      <calculatedColumnFormula>IF($Q3&lt;&gt;0,G3/$Q3,0)</calculatedColumnFormula>
    </tableColumn>
    <tableColumn id="22" name="53. Real estate and rental and leasing7" dataDxfId="12" dataCellStyle="Percent">
      <calculatedColumnFormula>IF($Q3&lt;&gt;0,H3/$Q3,0)</calculatedColumnFormula>
    </tableColumn>
    <tableColumn id="23" name="54. Professional and technical services8" dataDxfId="11" dataCellStyle="Percent">
      <calculatedColumnFormula>IF($Q3&lt;&gt;0,I3/$Q3,0)</calculatedColumnFormula>
    </tableColumn>
    <tableColumn id="24" name="55. Management of companies and enterprises9" dataDxfId="10" dataCellStyle="Percent">
      <calculatedColumnFormula>IF($Q3&lt;&gt;0,J3/$Q3,0)</calculatedColumnFormula>
    </tableColumn>
    <tableColumn id="25" name="56. Administrative and waste services10" dataDxfId="9" dataCellStyle="Percent">
      <calculatedColumnFormula>IF($Q3&lt;&gt;0,K3/$Q3,0)</calculatedColumnFormula>
    </tableColumn>
    <tableColumn id="26" name="61. Educational services11" dataDxfId="8" dataCellStyle="Percent">
      <calculatedColumnFormula>IF($Q3&lt;&gt;0,L3/$Q3,0)</calculatedColumnFormula>
    </tableColumn>
    <tableColumn id="27" name="62. Health care and social assistance12" dataDxfId="7" dataCellStyle="Percent">
      <calculatedColumnFormula>IF($Q3&lt;&gt;0,M3/$Q3,0)</calculatedColumnFormula>
    </tableColumn>
    <tableColumn id="28" name="71. Arts, entertainment, and recreation13" dataDxfId="6" dataCellStyle="Percent">
      <calculatedColumnFormula>IF($Q3&lt;&gt;0,N3/$Q3,0)</calculatedColumnFormula>
    </tableColumn>
    <tableColumn id="29" name="72. Accommodation and food services14" dataDxfId="5" dataCellStyle="Percent">
      <calculatedColumnFormula>IF($Q3&lt;&gt;0,O3/$Q3,0)</calculatedColumnFormula>
    </tableColumn>
    <tableColumn id="30" name="81. Other services, except public administration15" dataDxfId="4" dataCellStyle="Percent">
      <calculatedColumnFormula>IF($Q3&lt;&gt;0,P3/$Q3,0)</calculatedColumnFormula>
    </tableColumn>
    <tableColumn id="31" name="share of state establishments" dataDxfId="3" dataCellStyle="Percent">
      <calculatedColumnFormula>Q3/Q$250</calculatedColumnFormula>
    </tableColumn>
    <tableColumn id="33" name="share of state establishments (no residual)" dataDxfId="2" dataCellStyle="Percent">
      <calculatedColumnFormula>town_establishments[[#This Row],[share of state establishments]]/($AF$250-$AF$249)</calculatedColumnFormula>
    </tableColumn>
    <tableColumn id="34" name="share of regional establishments" dataDxfId="1" dataCellStyle="Percent">
      <calculatedColumnFormula>town_establishments[[#This Row],[share of state establishments (no residual)]]/(INDEX(regional_establishments[share of state establishments],MATCH(town_establishments[[#This Row],[Regional Planning Commission]],regional_establishments[Regional Planning Commission],0)))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4" name="regional_establishments" displayName="regional_establishments" ref="AJ2:AK13" totalsRowShown="0">
  <tableColumns count="2">
    <tableColumn id="1" name="Regional Planning Commission"/>
    <tableColumn id="2" name="share of state establishments" dataDxfId="0" dataCellStyle="Percent">
      <calculatedColumnFormula>SUMIF(town_establishments[Regional Planning Commission],AJ3,town_establishments[share of state establishments (no residual)])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hyperlink" Target="../../../../../../Desktop/transfer/Drive%20Electric" TargetMode="External"/><Relationship Id="rId1" Type="http://schemas.openxmlformats.org/officeDocument/2006/relationships/hyperlink" Target="https://factfinder.census.gov/faces/tableservices/jsf/pages/productview.xhtml?pid=ACS_15_5YR_DP04&amp;src=pt"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www.vtlmi.info/indareanaics.cfm?areatype=01&amp;src=cew&amp;base=ind2015&amp;from=ind2015&amp;chgtype=numeric&amp;area=000&amp;tw=Y" TargetMode="External"/><Relationship Id="rId1" Type="http://schemas.openxmlformats.org/officeDocument/2006/relationships/hyperlink" Target="https://factfinder.census.gov/faces/tableservices/jsf/pages/productview.xhtml?pid=ACS_15_5YR_DP04&amp;src=pt"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2:W49"/>
  <sheetViews>
    <sheetView topLeftCell="A7" workbookViewId="0"/>
  </sheetViews>
  <sheetFormatPr defaultRowHeight="15" x14ac:dyDescent="0.25"/>
  <cols>
    <col min="1" max="1" width="16.85546875" customWidth="1"/>
    <col min="7" max="7" width="13" customWidth="1"/>
    <col min="11" max="11" width="11.85546875" customWidth="1"/>
  </cols>
  <sheetData>
    <row r="2" spans="1:23" ht="32.25" customHeight="1" x14ac:dyDescent="0.25">
      <c r="A2" s="231" t="s">
        <v>25</v>
      </c>
      <c r="B2" s="232"/>
      <c r="C2" s="232"/>
      <c r="D2" s="232"/>
      <c r="E2" s="233"/>
      <c r="G2" s="231" t="s">
        <v>30</v>
      </c>
      <c r="H2" s="232"/>
      <c r="I2" s="232"/>
      <c r="J2" s="232"/>
      <c r="K2" s="233"/>
      <c r="M2" s="231" t="s">
        <v>31</v>
      </c>
      <c r="N2" s="232"/>
      <c r="O2" s="232"/>
      <c r="P2" s="232"/>
      <c r="Q2" s="233"/>
      <c r="R2" s="10"/>
      <c r="S2" s="231" t="s">
        <v>32</v>
      </c>
      <c r="T2" s="232"/>
      <c r="U2" s="232"/>
      <c r="V2" s="232"/>
      <c r="W2" s="233"/>
    </row>
    <row r="3" spans="1:23" x14ac:dyDescent="0.25">
      <c r="A3" s="11" t="s">
        <v>0</v>
      </c>
      <c r="B3" s="12">
        <v>2015</v>
      </c>
      <c r="C3" s="12">
        <v>2025</v>
      </c>
      <c r="D3" s="12">
        <v>2035</v>
      </c>
      <c r="E3" s="13">
        <v>2050</v>
      </c>
      <c r="G3" s="11" t="s">
        <v>0</v>
      </c>
      <c r="H3" s="12">
        <v>2015</v>
      </c>
      <c r="I3" s="12">
        <v>2025</v>
      </c>
      <c r="J3" s="12">
        <v>2035</v>
      </c>
      <c r="K3" s="13">
        <v>2050</v>
      </c>
      <c r="M3" s="11" t="s">
        <v>0</v>
      </c>
      <c r="N3" s="12">
        <v>2015</v>
      </c>
      <c r="O3" s="12">
        <v>2025</v>
      </c>
      <c r="P3" s="12">
        <v>2035</v>
      </c>
      <c r="Q3" s="13">
        <v>2050</v>
      </c>
      <c r="R3" s="2"/>
      <c r="S3" s="11" t="s">
        <v>0</v>
      </c>
      <c r="T3" s="12">
        <v>2015</v>
      </c>
      <c r="U3" s="12">
        <v>2025</v>
      </c>
      <c r="V3" s="12">
        <v>2035</v>
      </c>
      <c r="W3" s="13">
        <v>2050</v>
      </c>
    </row>
    <row r="4" spans="1:23" x14ac:dyDescent="0.25">
      <c r="A4" s="1" t="s">
        <v>1</v>
      </c>
      <c r="B4" s="2" t="s">
        <v>2</v>
      </c>
      <c r="C4" s="2" t="s">
        <v>2</v>
      </c>
      <c r="D4" s="2" t="s">
        <v>2</v>
      </c>
      <c r="E4" s="3" t="s">
        <v>2</v>
      </c>
      <c r="G4" s="1" t="s">
        <v>1</v>
      </c>
      <c r="H4" s="4">
        <v>121</v>
      </c>
      <c r="I4" s="4">
        <v>539</v>
      </c>
      <c r="J4" s="4">
        <v>991</v>
      </c>
      <c r="K4" s="5">
        <v>1818</v>
      </c>
      <c r="M4" s="1" t="s">
        <v>13</v>
      </c>
      <c r="N4" s="4" t="s">
        <v>2</v>
      </c>
      <c r="O4" s="4" t="s">
        <v>2</v>
      </c>
      <c r="P4" s="4" t="s">
        <v>2</v>
      </c>
      <c r="Q4" s="5" t="s">
        <v>2</v>
      </c>
      <c r="R4" s="2"/>
      <c r="S4" s="1" t="s">
        <v>13</v>
      </c>
      <c r="T4" s="4">
        <v>41.2</v>
      </c>
      <c r="U4" s="4">
        <v>257.60000000000002</v>
      </c>
      <c r="V4" s="4">
        <v>483.3</v>
      </c>
      <c r="W4" s="5">
        <v>859.4</v>
      </c>
    </row>
    <row r="5" spans="1:23" x14ac:dyDescent="0.25">
      <c r="A5" s="1" t="s">
        <v>3</v>
      </c>
      <c r="B5" s="4">
        <v>7058</v>
      </c>
      <c r="C5" s="4">
        <v>6527</v>
      </c>
      <c r="D5" s="4">
        <v>6114</v>
      </c>
      <c r="E5" s="5">
        <v>5610</v>
      </c>
      <c r="G5" s="1" t="s">
        <v>3</v>
      </c>
      <c r="H5" s="4">
        <v>7056</v>
      </c>
      <c r="I5" s="4">
        <v>6663</v>
      </c>
      <c r="J5" s="4">
        <v>6259</v>
      </c>
      <c r="K5" s="5">
        <v>6048</v>
      </c>
      <c r="M5" s="1" t="s">
        <v>14</v>
      </c>
      <c r="N5" s="4">
        <v>3874</v>
      </c>
      <c r="O5" s="4">
        <v>3130</v>
      </c>
      <c r="P5" s="4">
        <v>2273</v>
      </c>
      <c r="Q5" s="5">
        <v>928</v>
      </c>
      <c r="R5" s="2"/>
      <c r="S5" s="1" t="s">
        <v>14</v>
      </c>
      <c r="T5" s="4">
        <v>3831.5</v>
      </c>
      <c r="U5" s="4">
        <v>2865.9</v>
      </c>
      <c r="V5" s="4">
        <v>1777.3</v>
      </c>
      <c r="W5" s="5">
        <v>46.4</v>
      </c>
    </row>
    <row r="6" spans="1:23" x14ac:dyDescent="0.25">
      <c r="A6" s="1" t="s">
        <v>4</v>
      </c>
      <c r="B6" s="4">
        <v>1133</v>
      </c>
      <c r="C6" s="4">
        <v>914</v>
      </c>
      <c r="D6" s="4">
        <v>602</v>
      </c>
      <c r="E6" s="5">
        <v>250</v>
      </c>
      <c r="G6" s="1" t="s">
        <v>4</v>
      </c>
      <c r="H6" s="4">
        <v>1165</v>
      </c>
      <c r="I6" s="4">
        <v>980</v>
      </c>
      <c r="J6" s="4">
        <v>561</v>
      </c>
      <c r="K6" s="5">
        <v>174</v>
      </c>
      <c r="M6" s="1" t="s">
        <v>15</v>
      </c>
      <c r="N6" s="4">
        <v>7118</v>
      </c>
      <c r="O6" s="4">
        <v>7192</v>
      </c>
      <c r="P6" s="4">
        <v>7125</v>
      </c>
      <c r="Q6" s="5">
        <v>7158</v>
      </c>
      <c r="R6" s="4"/>
      <c r="S6" s="1" t="s">
        <v>15</v>
      </c>
      <c r="T6" s="4">
        <v>7117.9</v>
      </c>
      <c r="U6" s="4">
        <v>7191.7</v>
      </c>
      <c r="V6" s="4">
        <v>7124.6</v>
      </c>
      <c r="W6" s="5">
        <v>7158.4</v>
      </c>
    </row>
    <row r="7" spans="1:23" x14ac:dyDescent="0.25">
      <c r="A7" s="1" t="s">
        <v>5</v>
      </c>
      <c r="B7" s="4">
        <v>125</v>
      </c>
      <c r="C7" s="4">
        <v>616</v>
      </c>
      <c r="D7" s="4">
        <v>1202</v>
      </c>
      <c r="E7" s="5">
        <v>1689</v>
      </c>
      <c r="G7" s="1" t="s">
        <v>5</v>
      </c>
      <c r="H7" s="4">
        <v>200</v>
      </c>
      <c r="I7" s="4">
        <v>1055</v>
      </c>
      <c r="J7" s="4">
        <v>2133</v>
      </c>
      <c r="K7" s="5">
        <v>3029</v>
      </c>
      <c r="M7" s="1" t="s">
        <v>8</v>
      </c>
      <c r="N7" s="4">
        <v>2897</v>
      </c>
      <c r="O7" s="4">
        <v>2975</v>
      </c>
      <c r="P7" s="4">
        <v>2997</v>
      </c>
      <c r="Q7" s="5">
        <v>3094</v>
      </c>
      <c r="R7" s="4"/>
      <c r="S7" s="1" t="s">
        <v>8</v>
      </c>
      <c r="T7" s="4">
        <v>2815.1</v>
      </c>
      <c r="U7" s="4">
        <v>2459.6999999999998</v>
      </c>
      <c r="V7" s="4">
        <v>2030.6</v>
      </c>
      <c r="W7" s="5">
        <v>1375</v>
      </c>
    </row>
    <row r="8" spans="1:23" x14ac:dyDescent="0.25">
      <c r="A8" s="1" t="s">
        <v>6</v>
      </c>
      <c r="B8" s="4">
        <v>25</v>
      </c>
      <c r="C8" s="4">
        <v>98</v>
      </c>
      <c r="D8" s="4">
        <v>335</v>
      </c>
      <c r="E8" s="5">
        <v>697</v>
      </c>
      <c r="G8" s="1" t="s">
        <v>6</v>
      </c>
      <c r="H8" s="4">
        <v>120</v>
      </c>
      <c r="I8" s="4">
        <v>375</v>
      </c>
      <c r="J8" s="4">
        <v>778</v>
      </c>
      <c r="K8" s="5">
        <v>1256</v>
      </c>
      <c r="M8" s="1" t="s">
        <v>9</v>
      </c>
      <c r="N8" s="4">
        <v>2791</v>
      </c>
      <c r="O8" s="4">
        <v>3390</v>
      </c>
      <c r="P8" s="4">
        <v>3961</v>
      </c>
      <c r="Q8" s="5">
        <v>4967</v>
      </c>
      <c r="R8" s="4"/>
      <c r="S8" s="1" t="s">
        <v>9</v>
      </c>
      <c r="T8" s="4">
        <v>2587.9</v>
      </c>
      <c r="U8" s="4">
        <v>2120.3000000000002</v>
      </c>
      <c r="V8" s="4">
        <v>1578.3</v>
      </c>
      <c r="W8" s="5">
        <v>730.4</v>
      </c>
    </row>
    <row r="9" spans="1:23" x14ac:dyDescent="0.25">
      <c r="A9" s="1" t="s">
        <v>7</v>
      </c>
      <c r="B9" s="4">
        <v>989</v>
      </c>
      <c r="C9" s="4">
        <v>799</v>
      </c>
      <c r="D9" s="4">
        <v>608</v>
      </c>
      <c r="E9" s="5">
        <v>287</v>
      </c>
      <c r="G9" s="1" t="s">
        <v>7</v>
      </c>
      <c r="H9" s="4">
        <v>944</v>
      </c>
      <c r="I9" s="4">
        <v>674</v>
      </c>
      <c r="J9" s="4">
        <v>412</v>
      </c>
      <c r="K9" s="5" t="s">
        <v>2</v>
      </c>
      <c r="M9" s="1" t="s">
        <v>16</v>
      </c>
      <c r="N9" s="4">
        <v>393</v>
      </c>
      <c r="O9" s="4">
        <v>293</v>
      </c>
      <c r="P9" s="4">
        <v>180</v>
      </c>
      <c r="Q9" s="5" t="s">
        <v>2</v>
      </c>
      <c r="R9" s="2"/>
      <c r="S9" s="1" t="s">
        <v>16</v>
      </c>
      <c r="T9" s="4">
        <v>392.7</v>
      </c>
      <c r="U9" s="4">
        <v>292.5</v>
      </c>
      <c r="V9" s="4">
        <v>179.6</v>
      </c>
      <c r="W9" s="5" t="s">
        <v>2</v>
      </c>
    </row>
    <row r="10" spans="1:23" x14ac:dyDescent="0.25">
      <c r="A10" s="1" t="s">
        <v>8</v>
      </c>
      <c r="B10" s="4">
        <v>5384</v>
      </c>
      <c r="C10" s="4">
        <v>4361</v>
      </c>
      <c r="D10" s="4">
        <v>3273</v>
      </c>
      <c r="E10" s="5">
        <v>1234</v>
      </c>
      <c r="G10" s="1" t="s">
        <v>8</v>
      </c>
      <c r="H10" s="4">
        <v>5279</v>
      </c>
      <c r="I10" s="4">
        <v>4124</v>
      </c>
      <c r="J10" s="4">
        <v>2893</v>
      </c>
      <c r="K10" s="5">
        <v>1049</v>
      </c>
      <c r="M10" s="1" t="s">
        <v>17</v>
      </c>
      <c r="N10" s="4">
        <v>1251</v>
      </c>
      <c r="O10" s="4">
        <v>1331</v>
      </c>
      <c r="P10" s="4">
        <v>1390</v>
      </c>
      <c r="Q10" s="5">
        <v>1512</v>
      </c>
      <c r="R10" s="4"/>
      <c r="S10" s="1" t="s">
        <v>17</v>
      </c>
      <c r="T10" s="4">
        <v>1343</v>
      </c>
      <c r="U10" s="4">
        <v>1908</v>
      </c>
      <c r="V10" s="4">
        <v>2472.1999999999998</v>
      </c>
      <c r="W10" s="5">
        <v>3437.4</v>
      </c>
    </row>
    <row r="11" spans="1:23" x14ac:dyDescent="0.25">
      <c r="A11" s="1" t="s">
        <v>9</v>
      </c>
      <c r="B11" s="4">
        <v>4654</v>
      </c>
      <c r="C11" s="4">
        <v>6031</v>
      </c>
      <c r="D11" s="4">
        <v>7768</v>
      </c>
      <c r="E11" s="5">
        <v>11477</v>
      </c>
      <c r="G11" s="1" t="s">
        <v>9</v>
      </c>
      <c r="H11" s="4">
        <v>4187</v>
      </c>
      <c r="I11" s="4">
        <v>3417</v>
      </c>
      <c r="J11" s="4">
        <v>1913</v>
      </c>
      <c r="K11" s="5">
        <v>256</v>
      </c>
      <c r="M11" s="7" t="s">
        <v>12</v>
      </c>
      <c r="N11" s="8">
        <v>18323</v>
      </c>
      <c r="O11" s="8">
        <v>18311</v>
      </c>
      <c r="P11" s="8">
        <v>17925</v>
      </c>
      <c r="Q11" s="9">
        <v>17660</v>
      </c>
      <c r="R11" s="4"/>
      <c r="S11" s="7" t="s">
        <v>12</v>
      </c>
      <c r="T11" s="8">
        <v>18129.3</v>
      </c>
      <c r="U11" s="8">
        <v>17095.7</v>
      </c>
      <c r="V11" s="8">
        <v>15646</v>
      </c>
      <c r="W11" s="9">
        <v>13607</v>
      </c>
    </row>
    <row r="12" spans="1:23" x14ac:dyDescent="0.25">
      <c r="A12" s="1" t="s">
        <v>10</v>
      </c>
      <c r="B12" s="4">
        <v>10195</v>
      </c>
      <c r="C12" s="4">
        <v>8172</v>
      </c>
      <c r="D12" s="4">
        <v>5478</v>
      </c>
      <c r="E12" s="5">
        <v>1713</v>
      </c>
      <c r="G12" s="1" t="s">
        <v>10</v>
      </c>
      <c r="H12" s="4">
        <v>9711</v>
      </c>
      <c r="I12" s="4">
        <v>6995</v>
      </c>
      <c r="J12" s="4">
        <v>4342</v>
      </c>
      <c r="K12" s="5" t="s">
        <v>2</v>
      </c>
    </row>
    <row r="13" spans="1:23" x14ac:dyDescent="0.25">
      <c r="A13" s="1" t="s">
        <v>11</v>
      </c>
      <c r="B13" s="4">
        <v>698</v>
      </c>
      <c r="C13" s="4">
        <v>886</v>
      </c>
      <c r="D13" s="4">
        <v>1064</v>
      </c>
      <c r="E13" s="5">
        <v>1342</v>
      </c>
      <c r="G13" s="1" t="s">
        <v>11</v>
      </c>
      <c r="H13" s="4">
        <v>904</v>
      </c>
      <c r="I13" s="4">
        <v>1467</v>
      </c>
      <c r="J13" s="4">
        <v>1890</v>
      </c>
      <c r="K13" s="5">
        <v>2269</v>
      </c>
    </row>
    <row r="14" spans="1:23" x14ac:dyDescent="0.25">
      <c r="A14" s="7" t="s">
        <v>12</v>
      </c>
      <c r="B14" s="8">
        <f>SUM(B4:B13)</f>
        <v>30261</v>
      </c>
      <c r="C14" s="8">
        <f>SUM(C4:C13)</f>
        <v>28404</v>
      </c>
      <c r="D14" s="8">
        <f>SUM(D4:D13)</f>
        <v>26444</v>
      </c>
      <c r="E14" s="9">
        <f>SUM(E4:E13)</f>
        <v>24299</v>
      </c>
      <c r="G14" s="7" t="s">
        <v>12</v>
      </c>
      <c r="H14" s="8">
        <f>SUM(H4:H13)</f>
        <v>29687</v>
      </c>
      <c r="I14" s="8">
        <f>SUM(I4:I13)</f>
        <v>26289</v>
      </c>
      <c r="J14" s="8">
        <f>SUM(J4:J13)</f>
        <v>22172</v>
      </c>
      <c r="K14" s="9">
        <f>SUM(K4:K13)</f>
        <v>15899</v>
      </c>
    </row>
    <row r="22" spans="1:23" ht="33.75" customHeight="1" x14ac:dyDescent="0.25">
      <c r="A22" s="231" t="s">
        <v>33</v>
      </c>
      <c r="B22" s="232"/>
      <c r="C22" s="232"/>
      <c r="D22" s="232"/>
      <c r="E22" s="233"/>
      <c r="G22" s="231" t="s">
        <v>34</v>
      </c>
      <c r="H22" s="232"/>
      <c r="I22" s="232"/>
      <c r="J22" s="232"/>
      <c r="K22" s="233"/>
      <c r="M22" s="235" t="s">
        <v>35</v>
      </c>
      <c r="N22" s="236"/>
      <c r="O22" s="236"/>
      <c r="P22" s="236"/>
      <c r="Q22" s="237"/>
      <c r="S22" s="231" t="s">
        <v>36</v>
      </c>
      <c r="T22" s="232"/>
      <c r="U22" s="232"/>
      <c r="V22" s="232"/>
      <c r="W22" s="233"/>
    </row>
    <row r="23" spans="1:23" x14ac:dyDescent="0.25">
      <c r="A23" s="14" t="s">
        <v>0</v>
      </c>
      <c r="B23" s="15">
        <v>2015</v>
      </c>
      <c r="C23" s="15">
        <v>2025</v>
      </c>
      <c r="D23" s="15">
        <v>2035</v>
      </c>
      <c r="E23" s="16">
        <v>2050</v>
      </c>
      <c r="G23" s="14" t="s">
        <v>0</v>
      </c>
      <c r="H23" s="15">
        <v>2015</v>
      </c>
      <c r="I23" s="15">
        <v>2025</v>
      </c>
      <c r="J23" s="15">
        <v>2035</v>
      </c>
      <c r="K23" s="16">
        <v>2050</v>
      </c>
      <c r="M23" s="11" t="s">
        <v>0</v>
      </c>
      <c r="N23" s="12">
        <v>2015</v>
      </c>
      <c r="O23" s="12">
        <v>2025</v>
      </c>
      <c r="P23" s="12">
        <v>2035</v>
      </c>
      <c r="Q23" s="13">
        <v>2050</v>
      </c>
      <c r="S23" s="11" t="s">
        <v>0</v>
      </c>
      <c r="T23" s="12">
        <v>2015</v>
      </c>
      <c r="U23" s="12">
        <v>2025</v>
      </c>
      <c r="V23" s="12">
        <v>2035</v>
      </c>
      <c r="W23" s="13">
        <v>2050</v>
      </c>
    </row>
    <row r="24" spans="1:23" x14ac:dyDescent="0.25">
      <c r="A24" s="1" t="s">
        <v>21</v>
      </c>
      <c r="B24" s="4">
        <v>28</v>
      </c>
      <c r="C24" s="4">
        <v>23</v>
      </c>
      <c r="D24" s="4">
        <v>20</v>
      </c>
      <c r="E24" s="5">
        <v>17</v>
      </c>
      <c r="G24" s="1" t="s">
        <v>21</v>
      </c>
      <c r="H24" s="4">
        <v>28</v>
      </c>
      <c r="I24" s="4">
        <v>20</v>
      </c>
      <c r="J24" s="4">
        <v>11</v>
      </c>
      <c r="K24" s="5">
        <v>1</v>
      </c>
      <c r="M24" s="1" t="s">
        <v>18</v>
      </c>
      <c r="N24" s="4">
        <v>95</v>
      </c>
      <c r="O24" s="4">
        <v>88</v>
      </c>
      <c r="P24" s="4">
        <v>68</v>
      </c>
      <c r="Q24" s="5">
        <v>14</v>
      </c>
      <c r="S24" s="1" t="s">
        <v>18</v>
      </c>
      <c r="T24" s="4">
        <v>522</v>
      </c>
      <c r="U24" s="4">
        <v>2565</v>
      </c>
      <c r="V24" s="4">
        <v>4521</v>
      </c>
      <c r="W24" s="5">
        <v>7443</v>
      </c>
    </row>
    <row r="25" spans="1:23" x14ac:dyDescent="0.25">
      <c r="A25" s="1" t="s">
        <v>22</v>
      </c>
      <c r="B25" s="4">
        <v>4</v>
      </c>
      <c r="C25" s="4">
        <v>3</v>
      </c>
      <c r="D25" s="4">
        <v>3</v>
      </c>
      <c r="E25" s="5">
        <v>2</v>
      </c>
      <c r="G25" s="1" t="s">
        <v>22</v>
      </c>
      <c r="H25" s="4">
        <v>4</v>
      </c>
      <c r="I25" s="4">
        <v>3</v>
      </c>
      <c r="J25" s="4">
        <v>1</v>
      </c>
      <c r="K25" s="5">
        <v>0</v>
      </c>
      <c r="M25" s="1" t="s">
        <v>19</v>
      </c>
      <c r="N25" s="4">
        <v>274</v>
      </c>
      <c r="O25" s="4">
        <v>538</v>
      </c>
      <c r="P25" s="4">
        <v>886</v>
      </c>
      <c r="Q25" s="5">
        <v>1575</v>
      </c>
      <c r="S25" s="1" t="s">
        <v>19</v>
      </c>
      <c r="T25" s="4">
        <v>225</v>
      </c>
      <c r="U25" s="4">
        <v>199</v>
      </c>
      <c r="V25" s="4">
        <v>178</v>
      </c>
      <c r="W25" s="5">
        <v>150</v>
      </c>
    </row>
    <row r="26" spans="1:23" x14ac:dyDescent="0.25">
      <c r="A26" s="1" t="s">
        <v>23</v>
      </c>
      <c r="B26" s="4">
        <v>0</v>
      </c>
      <c r="C26" s="4">
        <v>0</v>
      </c>
      <c r="D26" s="4">
        <v>0</v>
      </c>
      <c r="E26" s="5">
        <v>0</v>
      </c>
      <c r="G26" s="1" t="s">
        <v>23</v>
      </c>
      <c r="H26" s="4">
        <v>0</v>
      </c>
      <c r="I26" s="4">
        <v>1</v>
      </c>
      <c r="J26" s="4">
        <v>2</v>
      </c>
      <c r="K26" s="5">
        <v>5</v>
      </c>
      <c r="M26" s="1" t="s">
        <v>20</v>
      </c>
      <c r="N26" s="4">
        <v>7907</v>
      </c>
      <c r="O26" s="4">
        <v>8616</v>
      </c>
      <c r="P26" s="4">
        <v>8871</v>
      </c>
      <c r="Q26" s="5">
        <v>8349</v>
      </c>
      <c r="S26" s="1" t="s">
        <v>20</v>
      </c>
      <c r="T26" s="4">
        <v>7236</v>
      </c>
      <c r="U26" s="4">
        <v>5013</v>
      </c>
      <c r="V26" s="4">
        <v>2979</v>
      </c>
      <c r="W26" s="5">
        <v>99</v>
      </c>
    </row>
    <row r="27" spans="1:23" x14ac:dyDescent="0.25">
      <c r="A27" s="1" t="s">
        <v>20</v>
      </c>
      <c r="B27" s="4">
        <v>1</v>
      </c>
      <c r="C27" s="4">
        <v>1</v>
      </c>
      <c r="D27" s="4">
        <v>1</v>
      </c>
      <c r="E27" s="5">
        <v>1</v>
      </c>
      <c r="G27" s="1" t="s">
        <v>20</v>
      </c>
      <c r="H27" s="4">
        <v>1</v>
      </c>
      <c r="I27" s="4">
        <v>1</v>
      </c>
      <c r="J27" s="4">
        <v>0</v>
      </c>
      <c r="K27" s="5">
        <v>0</v>
      </c>
      <c r="M27" s="1" t="s">
        <v>8</v>
      </c>
      <c r="N27" s="4">
        <v>105</v>
      </c>
      <c r="O27" s="4">
        <v>103</v>
      </c>
      <c r="P27" s="4">
        <v>90</v>
      </c>
      <c r="Q27" s="5">
        <v>49</v>
      </c>
      <c r="S27" s="1" t="s">
        <v>8</v>
      </c>
      <c r="T27" s="4">
        <v>100</v>
      </c>
      <c r="U27" s="4">
        <v>83</v>
      </c>
      <c r="V27" s="4">
        <v>69</v>
      </c>
      <c r="W27" s="5">
        <v>49</v>
      </c>
    </row>
    <row r="28" spans="1:23" x14ac:dyDescent="0.25">
      <c r="A28" s="1" t="s">
        <v>18</v>
      </c>
      <c r="B28" s="4">
        <v>0</v>
      </c>
      <c r="C28" s="4">
        <v>0</v>
      </c>
      <c r="D28" s="4">
        <v>0</v>
      </c>
      <c r="E28" s="5">
        <v>0</v>
      </c>
      <c r="G28" s="1" t="s">
        <v>18</v>
      </c>
      <c r="H28" s="4">
        <v>0</v>
      </c>
      <c r="I28" s="4">
        <v>0</v>
      </c>
      <c r="J28" s="4">
        <v>1</v>
      </c>
      <c r="K28" s="5">
        <v>1</v>
      </c>
      <c r="M28" s="7" t="s">
        <v>12</v>
      </c>
      <c r="N28" s="8">
        <v>8381</v>
      </c>
      <c r="O28" s="8">
        <v>9344</v>
      </c>
      <c r="P28" s="8">
        <v>9914</v>
      </c>
      <c r="Q28" s="9">
        <v>9987</v>
      </c>
      <c r="S28" s="7" t="s">
        <v>12</v>
      </c>
      <c r="T28" s="8">
        <v>8084</v>
      </c>
      <c r="U28" s="8">
        <v>7861</v>
      </c>
      <c r="V28" s="8">
        <v>7747</v>
      </c>
      <c r="W28" s="9">
        <v>7742</v>
      </c>
    </row>
    <row r="29" spans="1:23" x14ac:dyDescent="0.25">
      <c r="A29" s="6" t="s">
        <v>24</v>
      </c>
      <c r="B29" s="18" t="s">
        <v>2</v>
      </c>
      <c r="C29" s="18" t="s">
        <v>2</v>
      </c>
      <c r="D29" s="18" t="s">
        <v>2</v>
      </c>
      <c r="E29" s="19" t="s">
        <v>2</v>
      </c>
      <c r="G29" s="1" t="s">
        <v>24</v>
      </c>
      <c r="H29" s="4" t="s">
        <v>2</v>
      </c>
      <c r="I29" s="4" t="s">
        <v>2</v>
      </c>
      <c r="J29" s="4" t="s">
        <v>2</v>
      </c>
      <c r="K29" s="5" t="s">
        <v>2</v>
      </c>
    </row>
    <row r="30" spans="1:23" x14ac:dyDescent="0.25">
      <c r="A30" s="7" t="s">
        <v>12</v>
      </c>
      <c r="B30" s="8">
        <f>SUM(B24:B29)</f>
        <v>33</v>
      </c>
      <c r="C30" s="8">
        <f>SUM(C24:C29)</f>
        <v>27</v>
      </c>
      <c r="D30" s="8">
        <f>SUM(D24:D29)</f>
        <v>24</v>
      </c>
      <c r="E30" s="9">
        <f>SUM(E24:E29)</f>
        <v>20</v>
      </c>
      <c r="G30" s="7" t="s">
        <v>12</v>
      </c>
      <c r="H30" s="8">
        <f>SUM(H24:H29)</f>
        <v>33</v>
      </c>
      <c r="I30" s="8">
        <f>SUM(I24:I29)</f>
        <v>25</v>
      </c>
      <c r="J30" s="8">
        <f>SUM(J24:J29)</f>
        <v>15</v>
      </c>
      <c r="K30" s="9">
        <f>SUM(K24:K29)</f>
        <v>7</v>
      </c>
    </row>
    <row r="32" spans="1:23" ht="30" customHeight="1" x14ac:dyDescent="0.25"/>
    <row r="33" spans="1:11" ht="15" hidden="1" customHeight="1" x14ac:dyDescent="0.25">
      <c r="A33" t="s">
        <v>37</v>
      </c>
      <c r="G33" t="s">
        <v>38</v>
      </c>
    </row>
    <row r="34" spans="1:11" ht="15" hidden="1" customHeight="1" x14ac:dyDescent="0.25">
      <c r="A34" t="s">
        <v>0</v>
      </c>
      <c r="B34">
        <v>2015</v>
      </c>
      <c r="C34">
        <v>2025</v>
      </c>
      <c r="D34">
        <v>2035</v>
      </c>
      <c r="E34">
        <v>2050</v>
      </c>
      <c r="G34" t="s">
        <v>0</v>
      </c>
      <c r="H34">
        <v>2015</v>
      </c>
      <c r="I34">
        <v>2025</v>
      </c>
      <c r="J34">
        <v>2035</v>
      </c>
      <c r="K34">
        <v>2050</v>
      </c>
    </row>
    <row r="35" spans="1:11" ht="15" hidden="1" customHeight="1" x14ac:dyDescent="0.25">
      <c r="A35" t="s">
        <v>41</v>
      </c>
      <c r="B35">
        <v>0.3</v>
      </c>
      <c r="C35">
        <v>0.4</v>
      </c>
      <c r="D35">
        <v>0.5</v>
      </c>
      <c r="E35">
        <v>0.6</v>
      </c>
      <c r="G35" t="s">
        <v>41</v>
      </c>
      <c r="H35">
        <v>0.3</v>
      </c>
      <c r="I35">
        <v>0.4</v>
      </c>
      <c r="J35">
        <v>0.6</v>
      </c>
      <c r="K35">
        <v>0.7</v>
      </c>
    </row>
    <row r="36" spans="1:11" ht="15" hidden="1" customHeight="1" x14ac:dyDescent="0.25">
      <c r="A36" t="s">
        <v>26</v>
      </c>
      <c r="B36">
        <v>0.9</v>
      </c>
      <c r="C36">
        <v>1</v>
      </c>
      <c r="D36">
        <v>1.2</v>
      </c>
      <c r="E36">
        <v>1.5</v>
      </c>
      <c r="G36" t="s">
        <v>26</v>
      </c>
      <c r="H36">
        <v>0.9</v>
      </c>
      <c r="I36">
        <v>0.9</v>
      </c>
      <c r="J36">
        <v>1</v>
      </c>
      <c r="K36">
        <v>1.1000000000000001</v>
      </c>
    </row>
    <row r="37" spans="1:11" ht="15" hidden="1" customHeight="1" x14ac:dyDescent="0.25">
      <c r="A37" t="s">
        <v>39</v>
      </c>
      <c r="B37">
        <v>0.4</v>
      </c>
      <c r="C37">
        <v>0.4</v>
      </c>
      <c r="D37">
        <v>0.4</v>
      </c>
      <c r="E37">
        <v>0.3</v>
      </c>
      <c r="G37" t="s">
        <v>39</v>
      </c>
      <c r="H37">
        <v>0.5</v>
      </c>
      <c r="I37">
        <v>0.4</v>
      </c>
      <c r="J37">
        <v>0.4</v>
      </c>
      <c r="K37">
        <v>0.4</v>
      </c>
    </row>
    <row r="38" spans="1:11" ht="15" hidden="1" customHeight="1" x14ac:dyDescent="0.25">
      <c r="A38" t="s">
        <v>27</v>
      </c>
      <c r="B38">
        <v>0.1</v>
      </c>
      <c r="C38">
        <v>0.1</v>
      </c>
      <c r="D38">
        <v>0.1</v>
      </c>
      <c r="E38">
        <v>0.1</v>
      </c>
      <c r="G38" t="s">
        <v>27</v>
      </c>
      <c r="H38">
        <v>0.1</v>
      </c>
      <c r="I38">
        <v>0.1</v>
      </c>
      <c r="J38">
        <v>0.1</v>
      </c>
      <c r="K38">
        <v>0.1</v>
      </c>
    </row>
    <row r="39" spans="1:11" ht="15" hidden="1" customHeight="1" x14ac:dyDescent="0.25">
      <c r="A39" t="s">
        <v>28</v>
      </c>
      <c r="B39">
        <v>1.8</v>
      </c>
      <c r="C39">
        <v>1.6</v>
      </c>
      <c r="D39">
        <v>1.4</v>
      </c>
      <c r="E39">
        <v>1.3</v>
      </c>
      <c r="G39" t="s">
        <v>28</v>
      </c>
      <c r="H39">
        <v>1.7</v>
      </c>
      <c r="I39">
        <v>1.3</v>
      </c>
      <c r="J39">
        <v>0.9</v>
      </c>
      <c r="K39">
        <v>0.6</v>
      </c>
    </row>
    <row r="40" spans="1:11" ht="15" hidden="1" customHeight="1" x14ac:dyDescent="0.25">
      <c r="A40" t="s">
        <v>29</v>
      </c>
      <c r="B40">
        <v>2.6</v>
      </c>
      <c r="C40">
        <v>3.6</v>
      </c>
      <c r="D40">
        <v>4.5999999999999996</v>
      </c>
      <c r="E40">
        <v>6.1</v>
      </c>
      <c r="G40" t="s">
        <v>29</v>
      </c>
      <c r="H40">
        <v>2.1</v>
      </c>
      <c r="I40">
        <v>2.2000000000000002</v>
      </c>
      <c r="J40">
        <v>2.2000000000000002</v>
      </c>
      <c r="K40">
        <v>2.2000000000000002</v>
      </c>
    </row>
    <row r="41" spans="1:11" ht="15" hidden="1" customHeight="1" x14ac:dyDescent="0.25">
      <c r="A41" t="s">
        <v>40</v>
      </c>
      <c r="B41">
        <v>0.2</v>
      </c>
      <c r="C41">
        <v>0.2</v>
      </c>
      <c r="D41">
        <v>0.2</v>
      </c>
      <c r="E41">
        <v>0.2</v>
      </c>
      <c r="G41" t="s">
        <v>40</v>
      </c>
      <c r="H41">
        <v>0.2</v>
      </c>
      <c r="I41">
        <v>0.2</v>
      </c>
      <c r="J41">
        <v>0.2</v>
      </c>
      <c r="K41">
        <v>0.2</v>
      </c>
    </row>
    <row r="42" spans="1:11" ht="15" hidden="1" customHeight="1" x14ac:dyDescent="0.25">
      <c r="A42" t="s">
        <v>12</v>
      </c>
      <c r="B42">
        <f>SUM(B35:B41)</f>
        <v>6.3</v>
      </c>
      <c r="C42">
        <f>SUM(C35:C41)</f>
        <v>7.3</v>
      </c>
      <c r="D42">
        <f>SUM(D35:D41)</f>
        <v>8.3999999999999986</v>
      </c>
      <c r="E42">
        <f>SUM(E35:E41)</f>
        <v>10.099999999999998</v>
      </c>
      <c r="G42" t="s">
        <v>12</v>
      </c>
      <c r="H42">
        <f>SUM(H35:H41)</f>
        <v>5.8</v>
      </c>
      <c r="I42">
        <f>SUM(I35:I41)</f>
        <v>5.5000000000000009</v>
      </c>
      <c r="J42">
        <f>SUM(J35:J41)</f>
        <v>5.4</v>
      </c>
      <c r="K42">
        <f>SUM(K35:K41)</f>
        <v>5.3000000000000007</v>
      </c>
    </row>
    <row r="43" spans="1:11" ht="15" hidden="1" customHeight="1" x14ac:dyDescent="0.25"/>
    <row r="44" spans="1:11" ht="15" hidden="1" customHeight="1" x14ac:dyDescent="0.25"/>
    <row r="45" spans="1:11" ht="16.5" hidden="1" customHeight="1" x14ac:dyDescent="0.25"/>
    <row r="46" spans="1:11" ht="0.75" customHeight="1" x14ac:dyDescent="0.25"/>
    <row r="47" spans="1:11" ht="1.5" customHeight="1" x14ac:dyDescent="0.25"/>
    <row r="48" spans="1:11" ht="41.25" customHeight="1" x14ac:dyDescent="0.25">
      <c r="A48" s="234" t="s">
        <v>42</v>
      </c>
      <c r="B48" s="17">
        <v>2015</v>
      </c>
      <c r="C48" s="17">
        <v>2025</v>
      </c>
      <c r="D48" s="17">
        <v>2035</v>
      </c>
      <c r="E48" s="17">
        <v>2050</v>
      </c>
    </row>
    <row r="49" spans="1:5" ht="74.25" customHeight="1" x14ac:dyDescent="0.25">
      <c r="A49" s="234"/>
      <c r="B49" s="20">
        <f>B42-H42</f>
        <v>0.5</v>
      </c>
      <c r="C49" s="20">
        <f>C42-I42</f>
        <v>1.7999999999999989</v>
      </c>
      <c r="D49" s="20">
        <f>D42-J42</f>
        <v>2.9999999999999982</v>
      </c>
      <c r="E49" s="20">
        <f>E42-K42</f>
        <v>4.7999999999999972</v>
      </c>
    </row>
  </sheetData>
  <mergeCells count="9">
    <mergeCell ref="A2:E2"/>
    <mergeCell ref="G2:K2"/>
    <mergeCell ref="M2:Q2"/>
    <mergeCell ref="S2:W2"/>
    <mergeCell ref="A48:A49"/>
    <mergeCell ref="M22:Q22"/>
    <mergeCell ref="S22:W22"/>
    <mergeCell ref="A22:E22"/>
    <mergeCell ref="G22:K22"/>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zoomScale="70" zoomScaleNormal="70" workbookViewId="0">
      <selection activeCell="X11" sqref="X11"/>
    </sheetView>
  </sheetViews>
  <sheetFormatPr defaultRowHeight="15" x14ac:dyDescent="0.25"/>
  <cols>
    <col min="1" max="1" width="23.7109375" customWidth="1"/>
    <col min="2" max="2" width="10.140625" bestFit="1" customWidth="1"/>
    <col min="3" max="5" width="10" customWidth="1"/>
    <col min="7" max="7" width="24.140625" customWidth="1"/>
    <col min="8" max="11" width="10.7109375" customWidth="1"/>
    <col min="13" max="13" width="22" customWidth="1"/>
    <col min="14" max="17" width="11.5703125" customWidth="1"/>
    <col min="19" max="19" width="21.7109375" customWidth="1"/>
    <col min="20" max="23" width="11.5703125" customWidth="1"/>
    <col min="25" max="25" width="11.85546875" customWidth="1"/>
  </cols>
  <sheetData>
    <row r="1" spans="1:25" ht="46.5" x14ac:dyDescent="0.7">
      <c r="A1" s="211" t="s">
        <v>539</v>
      </c>
    </row>
    <row r="2" spans="1:25" ht="32.25" customHeight="1" x14ac:dyDescent="0.25">
      <c r="A2" s="231" t="s">
        <v>25</v>
      </c>
      <c r="B2" s="232"/>
      <c r="C2" s="232"/>
      <c r="D2" s="232"/>
      <c r="E2" s="233"/>
      <c r="G2" s="231" t="s">
        <v>30</v>
      </c>
      <c r="H2" s="232"/>
      <c r="I2" s="232"/>
      <c r="J2" s="232"/>
      <c r="K2" s="233"/>
      <c r="M2" s="231" t="s">
        <v>31</v>
      </c>
      <c r="N2" s="232"/>
      <c r="O2" s="232"/>
      <c r="P2" s="232"/>
      <c r="Q2" s="233"/>
      <c r="R2" s="10"/>
      <c r="S2" s="231" t="s">
        <v>32</v>
      </c>
      <c r="T2" s="232"/>
      <c r="U2" s="232"/>
      <c r="V2" s="232"/>
      <c r="W2" s="233"/>
    </row>
    <row r="3" spans="1:25" x14ac:dyDescent="0.25">
      <c r="A3" s="11" t="s">
        <v>0</v>
      </c>
      <c r="B3" s="12">
        <v>2015</v>
      </c>
      <c r="C3" s="12">
        <v>2025</v>
      </c>
      <c r="D3" s="12">
        <v>2035</v>
      </c>
      <c r="E3" s="13">
        <v>2050</v>
      </c>
      <c r="G3" s="11" t="s">
        <v>0</v>
      </c>
      <c r="H3" s="12">
        <v>2015</v>
      </c>
      <c r="I3" s="12">
        <v>2025</v>
      </c>
      <c r="J3" s="12">
        <v>2035</v>
      </c>
      <c r="K3" s="13">
        <v>2050</v>
      </c>
      <c r="M3" s="11" t="s">
        <v>0</v>
      </c>
      <c r="N3" s="12">
        <v>2015</v>
      </c>
      <c r="O3" s="12">
        <v>2025</v>
      </c>
      <c r="P3" s="12">
        <v>2035</v>
      </c>
      <c r="Q3" s="13">
        <v>2050</v>
      </c>
      <c r="R3" s="2"/>
      <c r="S3" s="11" t="s">
        <v>0</v>
      </c>
      <c r="T3" s="12">
        <v>2015</v>
      </c>
      <c r="U3" s="12">
        <v>2025</v>
      </c>
      <c r="V3" s="12">
        <v>2035</v>
      </c>
      <c r="W3" s="13">
        <v>2050</v>
      </c>
    </row>
    <row r="4" spans="1:25" x14ac:dyDescent="0.25">
      <c r="A4" s="1" t="s">
        <v>1</v>
      </c>
      <c r="B4" s="2">
        <f>res_share_state_target*'LEAP Statewide'!B4</f>
        <v>0</v>
      </c>
      <c r="C4" s="2">
        <f>res_share_state_target*'LEAP Statewide'!C4</f>
        <v>0</v>
      </c>
      <c r="D4" s="2">
        <f>res_share_state_target*'LEAP Statewide'!D4</f>
        <v>0</v>
      </c>
      <c r="E4" s="3">
        <f>res_share_state_target*'LEAP Statewide'!E4</f>
        <v>0</v>
      </c>
      <c r="G4" s="1" t="s">
        <v>1</v>
      </c>
      <c r="H4" s="4">
        <f>res_share_state_target*'LEAP Statewide'!H4</f>
        <v>1.1533340358069985E-2</v>
      </c>
      <c r="I4" s="4">
        <f>res_share_state_target*'LEAP Statewide'!I4</f>
        <v>6.9736476583678972E-2</v>
      </c>
      <c r="J4" s="4">
        <f>res_share_state_target*'LEAP Statewide'!J4</f>
        <v>0.13156054524728669</v>
      </c>
      <c r="K4" s="5">
        <f>res_share_state_target*'LEAP Statewide'!K4</f>
        <v>0.24220014751946967</v>
      </c>
      <c r="L4" s="21"/>
      <c r="M4" s="1" t="s">
        <v>13</v>
      </c>
      <c r="N4" s="4">
        <f ca="1">com_share_state_target*'LEAP Statewide'!N4</f>
        <v>0</v>
      </c>
      <c r="O4" s="4">
        <f ca="1">com_share_state_target*'LEAP Statewide'!O4</f>
        <v>0</v>
      </c>
      <c r="P4" s="4">
        <f ca="1">com_share_state_target*'LEAP Statewide'!P4</f>
        <v>0</v>
      </c>
      <c r="Q4" s="5">
        <f ca="1">com_share_state_target*'LEAP Statewide'!Q4</f>
        <v>0</v>
      </c>
      <c r="R4" s="2"/>
      <c r="S4" s="1" t="s">
        <v>13</v>
      </c>
      <c r="T4" s="4">
        <f ca="1">com_share_state_target*'LEAP Statewide'!T4</f>
        <v>0</v>
      </c>
      <c r="U4" s="4">
        <f ca="1">com_share_state_target*'LEAP Statewide'!U4</f>
        <v>0</v>
      </c>
      <c r="V4" s="4">
        <f ca="1">com_share_state_target*'LEAP Statewide'!V4</f>
        <v>0</v>
      </c>
      <c r="W4" s="5">
        <f ca="1">com_share_state_target*'LEAP Statewide'!W4</f>
        <v>0</v>
      </c>
      <c r="Y4" s="23"/>
    </row>
    <row r="5" spans="1:25" x14ac:dyDescent="0.25">
      <c r="A5" s="1" t="s">
        <v>3</v>
      </c>
      <c r="B5" s="4">
        <f>res_share_state_target*'LEAP Statewide'!B5</f>
        <v>1.016409146207121</v>
      </c>
      <c r="C5" s="4">
        <f>res_share_state_target*'LEAP Statewide'!C5</f>
        <v>0.93634630674470498</v>
      </c>
      <c r="D5" s="4">
        <f>res_share_state_target*'LEAP Statewide'!D5</f>
        <v>0.87130363146954293</v>
      </c>
      <c r="E5" s="5">
        <f>res_share_state_target*'LEAP Statewide'!E5</f>
        <v>0.78909505426609061</v>
      </c>
      <c r="G5" s="1" t="s">
        <v>3</v>
      </c>
      <c r="H5" s="4">
        <f>res_share_state_target*'LEAP Statewide'!H5</f>
        <v>1.0194936442098608</v>
      </c>
      <c r="I5" s="4">
        <f>res_share_state_target*'LEAP Statewide'!I5</f>
        <v>0.95699903250217921</v>
      </c>
      <c r="J5" s="4">
        <f>res_share_state_target*'LEAP Statewide'!J5</f>
        <v>0.89343155192397949</v>
      </c>
      <c r="K5" s="5">
        <f>res_share_state_target*'LEAP Statewide'!K5</f>
        <v>0.85078501432088349</v>
      </c>
      <c r="L5" s="21"/>
      <c r="M5" s="1" t="s">
        <v>14</v>
      </c>
      <c r="N5" s="4">
        <f ca="1">com_share_state_target*'LEAP Statewide'!N5</f>
        <v>0</v>
      </c>
      <c r="O5" s="4">
        <f ca="1">com_share_state_target*'LEAP Statewide'!O5</f>
        <v>0</v>
      </c>
      <c r="P5" s="4">
        <f ca="1">com_share_state_target*'LEAP Statewide'!P5</f>
        <v>0</v>
      </c>
      <c r="Q5" s="5">
        <f ca="1">com_share_state_target*'LEAP Statewide'!Q5</f>
        <v>0</v>
      </c>
      <c r="R5" s="2"/>
      <c r="S5" s="1" t="s">
        <v>14</v>
      </c>
      <c r="T5" s="4">
        <f ca="1">com_share_state_target*'LEAP Statewide'!T5</f>
        <v>0</v>
      </c>
      <c r="U5" s="4">
        <f ca="1">com_share_state_target*'LEAP Statewide'!U5</f>
        <v>0</v>
      </c>
      <c r="V5" s="4">
        <f ca="1">com_share_state_target*'LEAP Statewide'!V5</f>
        <v>0</v>
      </c>
      <c r="W5" s="5">
        <f ca="1">com_share_state_target*'LEAP Statewide'!W5</f>
        <v>0</v>
      </c>
      <c r="Y5" s="92"/>
    </row>
    <row r="6" spans="1:25" x14ac:dyDescent="0.25">
      <c r="A6" s="1" t="s">
        <v>4</v>
      </c>
      <c r="B6" s="4">
        <f>res_share_state_target*'LEAP Statewide'!B6</f>
        <v>0.15422490013698234</v>
      </c>
      <c r="C6" s="4">
        <f>res_share_state_target*'LEAP Statewide'!C6</f>
        <v>0.12498922341536309</v>
      </c>
      <c r="D6" s="4">
        <f>res_share_state_target*'LEAP Statewide'!D6</f>
        <v>8.5158966597377206E-2</v>
      </c>
      <c r="E6" s="5">
        <f>res_share_state_target*'LEAP Statewide'!E6</f>
        <v>3.3661260812506581E-2</v>
      </c>
      <c r="G6" s="1" t="s">
        <v>4</v>
      </c>
      <c r="H6" s="4">
        <f>res_share_state_target*'LEAP Statewide'!H6</f>
        <v>0.15516366039868573</v>
      </c>
      <c r="I6" s="4">
        <f>res_share_state_target*'LEAP Statewide'!I6</f>
        <v>0.1274031783740289</v>
      </c>
      <c r="J6" s="4">
        <f>res_share_state_target*'LEAP Statewide'!J6</f>
        <v>7.4162060674566294E-2</v>
      </c>
      <c r="K6" s="5">
        <f>res_share_state_target*'LEAP Statewide'!K6</f>
        <v>2.400544097784334E-2</v>
      </c>
      <c r="L6" s="21"/>
      <c r="M6" s="1" t="s">
        <v>15</v>
      </c>
      <c r="N6" s="89">
        <f ca="1">com_share_state_target*'LEAP Statewide'!N6</f>
        <v>0</v>
      </c>
      <c r="O6" s="89">
        <f ca="1">com_share_state_target*'LEAP Statewide'!O6</f>
        <v>0</v>
      </c>
      <c r="P6" s="89">
        <f ca="1">com_share_state_target*'LEAP Statewide'!P6</f>
        <v>0</v>
      </c>
      <c r="Q6" s="90">
        <f ca="1">com_share_state_target*'LEAP Statewide'!Q6</f>
        <v>0</v>
      </c>
      <c r="R6" s="4"/>
      <c r="S6" s="1" t="s">
        <v>15</v>
      </c>
      <c r="T6" s="89">
        <f ca="1">com_share_state_target*'LEAP Statewide'!T6</f>
        <v>0</v>
      </c>
      <c r="U6" s="89">
        <f ca="1">com_share_state_target*'LEAP Statewide'!U6</f>
        <v>0</v>
      </c>
      <c r="V6" s="89">
        <f ca="1">com_share_state_target*'LEAP Statewide'!V6</f>
        <v>0</v>
      </c>
      <c r="W6" s="90">
        <f ca="1">com_share_state_target*'LEAP Statewide'!W6</f>
        <v>0</v>
      </c>
      <c r="Y6" s="92"/>
    </row>
    <row r="7" spans="1:25" x14ac:dyDescent="0.25">
      <c r="A7" s="1" t="s">
        <v>5</v>
      </c>
      <c r="B7" s="4">
        <f>res_share_state_target*'LEAP Statewide'!B7</f>
        <v>1.5556598622513003E-2</v>
      </c>
      <c r="C7" s="4">
        <f>res_share_state_target*'LEAP Statewide'!C7</f>
        <v>8.7572921556043015E-2</v>
      </c>
      <c r="D7" s="4">
        <f>res_share_state_target*'LEAP Statewide'!D7</f>
        <v>0.16508769745097851</v>
      </c>
      <c r="E7" s="5">
        <f>res_share_state_target*'LEAP Statewide'!E7</f>
        <v>0.22771641776747481</v>
      </c>
      <c r="G7" s="1" t="s">
        <v>5</v>
      </c>
      <c r="H7" s="4">
        <f>res_share_state_target*'LEAP Statewide'!H7</f>
        <v>2.7224047589397754E-2</v>
      </c>
      <c r="I7" s="4">
        <f>res_share_state_target*'LEAP Statewide'!I7</f>
        <v>0.15248148822239038</v>
      </c>
      <c r="J7" s="4">
        <f>res_share_state_target*'LEAP Statewide'!J7</f>
        <v>0.29450250495722891</v>
      </c>
      <c r="K7" s="5">
        <f>res_share_state_target*'LEAP Statewide'!K7</f>
        <v>0.40567854166467099</v>
      </c>
      <c r="M7" s="1" t="s">
        <v>8</v>
      </c>
      <c r="N7" s="4">
        <f ca="1">com_share_state_target*'LEAP Statewide'!N7</f>
        <v>0</v>
      </c>
      <c r="O7" s="4">
        <f ca="1">com_share_state_target*'LEAP Statewide'!O7</f>
        <v>0</v>
      </c>
      <c r="P7" s="4">
        <f ca="1">com_share_state_target*'LEAP Statewide'!P7</f>
        <v>0</v>
      </c>
      <c r="Q7" s="5">
        <f ca="1">com_share_state_target*'LEAP Statewide'!Q7</f>
        <v>0</v>
      </c>
      <c r="R7" s="4"/>
      <c r="S7" s="1" t="s">
        <v>8</v>
      </c>
      <c r="T7" s="4">
        <f ca="1">com_share_state_target*'LEAP Statewide'!T7</f>
        <v>0</v>
      </c>
      <c r="U7" s="4">
        <f ca="1">com_share_state_target*'LEAP Statewide'!U7</f>
        <v>0</v>
      </c>
      <c r="V7" s="4">
        <f ca="1">com_share_state_target*'LEAP Statewide'!V7</f>
        <v>0</v>
      </c>
      <c r="W7" s="5">
        <f ca="1">com_share_state_target*'LEAP Statewide'!W7</f>
        <v>0</v>
      </c>
      <c r="Y7" s="92"/>
    </row>
    <row r="8" spans="1:25" x14ac:dyDescent="0.25">
      <c r="A8" s="1" t="s">
        <v>6</v>
      </c>
      <c r="B8" s="4">
        <f>res_share_state_target*'LEAP Statewide'!B8</f>
        <v>1.7434119145919745E-3</v>
      </c>
      <c r="C8" s="4">
        <f>res_share_state_target*'LEAP Statewide'!C8</f>
        <v>1.2874426446217658E-2</v>
      </c>
      <c r="D8" s="4">
        <f>res_share_state_target*'LEAP Statewide'!D8</f>
        <v>4.3853515082428893E-2</v>
      </c>
      <c r="E8" s="5">
        <f>res_share_state_target*'LEAP Statewide'!E8</f>
        <v>9.1059745385226973E-2</v>
      </c>
      <c r="G8" s="1" t="s">
        <v>6</v>
      </c>
      <c r="H8" s="4">
        <f>res_share_state_target*'LEAP Statewide'!H8</f>
        <v>7.5100820936269668E-3</v>
      </c>
      <c r="I8" s="4">
        <f>res_share_state_target*'LEAP Statewide'!I8</f>
        <v>4.6669795867539006E-2</v>
      </c>
      <c r="J8" s="4">
        <f>res_share_state_target*'LEAP Statewide'!J8</f>
        <v>0.10152021687277882</v>
      </c>
      <c r="K8" s="5">
        <f>res_share_state_target*'LEAP Statewide'!K8</f>
        <v>0.16844041267134768</v>
      </c>
      <c r="M8" s="1" t="s">
        <v>9</v>
      </c>
      <c r="N8" s="4">
        <f ca="1">com_share_state_target*'LEAP Statewide'!N8</f>
        <v>0</v>
      </c>
      <c r="O8" s="4">
        <f ca="1">com_share_state_target*'LEAP Statewide'!O8</f>
        <v>0</v>
      </c>
      <c r="P8" s="4">
        <f ca="1">com_share_state_target*'LEAP Statewide'!P8</f>
        <v>0</v>
      </c>
      <c r="Q8" s="5">
        <f ca="1">com_share_state_target*'LEAP Statewide'!Q8</f>
        <v>0</v>
      </c>
      <c r="R8" s="4"/>
      <c r="S8" s="1" t="s">
        <v>9</v>
      </c>
      <c r="T8" s="4">
        <f ca="1">com_share_state_target*'LEAP Statewide'!T8</f>
        <v>0</v>
      </c>
      <c r="U8" s="4">
        <f ca="1">com_share_state_target*'LEAP Statewide'!U8</f>
        <v>0</v>
      </c>
      <c r="V8" s="4">
        <f ca="1">com_share_state_target*'LEAP Statewide'!V8</f>
        <v>0</v>
      </c>
      <c r="W8" s="5">
        <f ca="1">com_share_state_target*'LEAP Statewide'!W8</f>
        <v>0</v>
      </c>
      <c r="Y8" s="23"/>
    </row>
    <row r="9" spans="1:25" x14ac:dyDescent="0.25">
      <c r="A9" s="1" t="s">
        <v>7</v>
      </c>
      <c r="B9" s="4">
        <f>res_share_state_target*'LEAP Statewide'!B9</f>
        <v>0.13048767637676856</v>
      </c>
      <c r="C9" s="4">
        <f>res_share_state_target*'LEAP Statewide'!C9</f>
        <v>0.10473882348433323</v>
      </c>
      <c r="D9" s="4">
        <f>res_share_state_target*'LEAP Statewide'!D9</f>
        <v>7.992873085360129E-2</v>
      </c>
      <c r="E9" s="5">
        <f>res_share_state_target*'LEAP Statewide'!E9</f>
        <v>3.9562039600356341E-2</v>
      </c>
      <c r="G9" s="1" t="s">
        <v>7</v>
      </c>
      <c r="H9" s="4">
        <f>res_share_state_target*'LEAP Statewide'!H9</f>
        <v>0.12807372141810272</v>
      </c>
      <c r="I9" s="4">
        <f>res_share_state_target*'LEAP Statewide'!I9</f>
        <v>9.2266722864559877E-2</v>
      </c>
      <c r="J9" s="4">
        <f>res_share_state_target*'LEAP Statewide'!J9</f>
        <v>5.7264375963905621E-2</v>
      </c>
      <c r="K9" s="5">
        <f>res_share_state_target*'LEAP Statewide'!K9</f>
        <v>0</v>
      </c>
      <c r="L9" s="21"/>
      <c r="M9" s="1" t="s">
        <v>16</v>
      </c>
      <c r="N9" s="4">
        <f ca="1">com_share_state_target*'LEAP Statewide'!N9</f>
        <v>0</v>
      </c>
      <c r="O9" s="4">
        <f ca="1">com_share_state_target*'LEAP Statewide'!O9</f>
        <v>0</v>
      </c>
      <c r="P9" s="4">
        <f ca="1">com_share_state_target*'LEAP Statewide'!P9</f>
        <v>0</v>
      </c>
      <c r="Q9" s="5">
        <f ca="1">com_share_state_target*'LEAP Statewide'!Q9</f>
        <v>0</v>
      </c>
      <c r="R9" s="2"/>
      <c r="S9" s="1" t="s">
        <v>16</v>
      </c>
      <c r="T9" s="4">
        <f ca="1">com_share_state_target*'LEAP Statewide'!T9</f>
        <v>0</v>
      </c>
      <c r="U9" s="4">
        <f ca="1">com_share_state_target*'LEAP Statewide'!U9</f>
        <v>0</v>
      </c>
      <c r="V9" s="4">
        <f ca="1">com_share_state_target*'LEAP Statewide'!V9</f>
        <v>0</v>
      </c>
      <c r="W9" s="5">
        <f ca="1">com_share_state_target*'LEAP Statewide'!W9</f>
        <v>0</v>
      </c>
      <c r="Y9" s="23"/>
    </row>
    <row r="10" spans="1:25" x14ac:dyDescent="0.25">
      <c r="A10" s="1" t="s">
        <v>8</v>
      </c>
      <c r="B10" s="4">
        <f>res_share_state_target*'LEAP Statewide'!B10</f>
        <v>0.75275162127728867</v>
      </c>
      <c r="C10" s="4">
        <f>res_share_state_target*'LEAP Statewide'!C10</f>
        <v>0.60308641384000838</v>
      </c>
      <c r="D10" s="4">
        <f>res_share_state_target*'LEAP Statewide'!D10</f>
        <v>0.44550879848265684</v>
      </c>
      <c r="E10" s="5">
        <f>res_share_state_target*'LEAP Statewide'!E10</f>
        <v>0.16079622196890594</v>
      </c>
      <c r="G10" s="1" t="s">
        <v>8</v>
      </c>
      <c r="H10" s="4">
        <f>res_share_state_target*'LEAP Statewide'!H10</f>
        <v>0.743900453095514</v>
      </c>
      <c r="I10" s="4">
        <f>res_share_state_target*'LEAP Statewide'!I10</f>
        <v>0.56835228415698369</v>
      </c>
      <c r="J10" s="4">
        <f>res_share_state_target*'LEAP Statewide'!J10</f>
        <v>0.39776613374459968</v>
      </c>
      <c r="K10" s="5">
        <f>res_share_state_target*'LEAP Statewide'!K10</f>
        <v>0.13424271742358201</v>
      </c>
      <c r="L10" s="21"/>
      <c r="M10" s="1" t="s">
        <v>17</v>
      </c>
      <c r="N10" s="4">
        <f ca="1">com_share_state_target*'LEAP Statewide'!N10</f>
        <v>0</v>
      </c>
      <c r="O10" s="4">
        <f ca="1">com_share_state_target*'LEAP Statewide'!O10</f>
        <v>0</v>
      </c>
      <c r="P10" s="4">
        <f ca="1">com_share_state_target*'LEAP Statewide'!P10</f>
        <v>0</v>
      </c>
      <c r="Q10" s="5">
        <f ca="1">com_share_state_target*'LEAP Statewide'!Q10</f>
        <v>0</v>
      </c>
      <c r="R10" s="4"/>
      <c r="S10" s="1" t="s">
        <v>17</v>
      </c>
      <c r="T10" s="4">
        <f ca="1">com_share_state_target*'LEAP Statewide'!T10</f>
        <v>0</v>
      </c>
      <c r="U10" s="4">
        <f ca="1">com_share_state_target*'LEAP Statewide'!U10</f>
        <v>0</v>
      </c>
      <c r="V10" s="4">
        <f ca="1">com_share_state_target*'LEAP Statewide'!V10</f>
        <v>0</v>
      </c>
      <c r="W10" s="5">
        <f ca="1">com_share_state_target*'LEAP Statewide'!W10</f>
        <v>0</v>
      </c>
      <c r="Y10" s="23"/>
    </row>
    <row r="11" spans="1:25" x14ac:dyDescent="0.25">
      <c r="A11" s="1" t="s">
        <v>9</v>
      </c>
      <c r="B11" s="4">
        <f>res_share_state_target*'LEAP Statewide'!B11</f>
        <v>0.64989031831636213</v>
      </c>
      <c r="C11" s="4">
        <f>res_share_state_target*'LEAP Statewide'!C11</f>
        <v>0.84354314944488606</v>
      </c>
      <c r="D11" s="4">
        <f>res_share_state_target*'LEAP Statewide'!D11</f>
        <v>1.0841339936585785</v>
      </c>
      <c r="E11" s="5">
        <f>res_share_state_target*'LEAP Statewide'!E11</f>
        <v>1.5878459283668445</v>
      </c>
      <c r="G11" s="1" t="s">
        <v>9</v>
      </c>
      <c r="H11" s="4">
        <f>res_share_state_target*'LEAP Statewide'!H11</f>
        <v>0.5918212906995679</v>
      </c>
      <c r="I11" s="4">
        <f>res_share_state_target*'LEAP Statewide'!I11</f>
        <v>0.4707212169398331</v>
      </c>
      <c r="J11" s="4">
        <f>res_share_state_target*'LEAP Statewide'!J11</f>
        <v>0.26245054745049951</v>
      </c>
      <c r="K11" s="5">
        <f>res_share_state_target*'LEAP Statewide'!K11</f>
        <v>3.2588391941988447E-2</v>
      </c>
      <c r="L11" s="21"/>
      <c r="M11" s="7" t="s">
        <v>12</v>
      </c>
      <c r="N11" s="8">
        <f ca="1">SUM(N4:N10)</f>
        <v>0</v>
      </c>
      <c r="O11" s="8">
        <f ca="1">SUM(O4:O10)</f>
        <v>0</v>
      </c>
      <c r="P11" s="8">
        <f ca="1">SUM(P4:P10)</f>
        <v>0</v>
      </c>
      <c r="Q11" s="9">
        <f ca="1">SUM(Q4:Q10)</f>
        <v>0</v>
      </c>
      <c r="R11" s="4"/>
      <c r="S11" s="7" t="s">
        <v>12</v>
      </c>
      <c r="T11" s="8">
        <f ca="1">SUM(T4:T10)</f>
        <v>0</v>
      </c>
      <c r="U11" s="8">
        <f ca="1">SUM(U4:U10)</f>
        <v>0</v>
      </c>
      <c r="V11" s="8">
        <f ca="1">SUM(V4:V10)</f>
        <v>0</v>
      </c>
      <c r="W11" s="9">
        <f ca="1">SUM(W4:W10)</f>
        <v>0</v>
      </c>
    </row>
    <row r="12" spans="1:25" x14ac:dyDescent="0.25">
      <c r="A12" s="1" t="s">
        <v>10</v>
      </c>
      <c r="B12" s="4">
        <f>res_share_state_target*'LEAP Statewide'!B12</f>
        <v>1.3919132508884693</v>
      </c>
      <c r="C12" s="4">
        <f>res_share_state_target*'LEAP Statewide'!C12</f>
        <v>1.0935215962756122</v>
      </c>
      <c r="D12" s="4">
        <f>res_share_state_target*'LEAP Statewide'!D12</f>
        <v>0.72083377237937407</v>
      </c>
      <c r="E12" s="5">
        <f>res_share_state_target*'LEAP Statewide'!E12</f>
        <v>0.19298228808445009</v>
      </c>
      <c r="G12" s="1" t="s">
        <v>10</v>
      </c>
      <c r="H12" s="4">
        <f>res_share_state_target*'LEAP Statewide'!H12</f>
        <v>1.3646892032990716</v>
      </c>
      <c r="I12" s="4">
        <f>res_share_state_target*'LEAP Statewide'!I12</f>
        <v>0.97791997547728282</v>
      </c>
      <c r="J12" s="4">
        <f>res_share_state_target*'LEAP Statewide'!J12</f>
        <v>0.6026840880135641</v>
      </c>
      <c r="K12" s="5">
        <f>res_share_state_target*'LEAP Statewide'!K12</f>
        <v>0</v>
      </c>
      <c r="L12" s="21"/>
    </row>
    <row r="13" spans="1:25" x14ac:dyDescent="0.25">
      <c r="A13" s="1" t="s">
        <v>11</v>
      </c>
      <c r="B13" s="4">
        <f>res_share_state_target*'LEAP Statewide'!B13</f>
        <v>8.6365944076710111E-2</v>
      </c>
      <c r="C13" s="4">
        <f>res_share_state_target*'LEAP Statewide'!C13</f>
        <v>0.11439464331899647</v>
      </c>
      <c r="D13" s="4">
        <f>res_share_state_target*'LEAP Statewide'!D13</f>
        <v>0.14121636508194993</v>
      </c>
      <c r="E13" s="5">
        <f>res_share_state_target*'LEAP Statewide'!E13</f>
        <v>0.182655925205713</v>
      </c>
      <c r="G13" s="1" t="s">
        <v>11</v>
      </c>
      <c r="H13" s="4">
        <f>res_share_state_target*'LEAP Statewide'!H13</f>
        <v>9.9374479131742535E-2</v>
      </c>
      <c r="I13" s="4">
        <f>res_share_state_target*'LEAP Statewide'!I13</f>
        <v>0.18185127355282441</v>
      </c>
      <c r="J13" s="4">
        <f>res_share_state_target*'LEAP Statewide'!J13</f>
        <v>0.24501642830457979</v>
      </c>
      <c r="K13" s="5">
        <f>res_share_state_target*'LEAP Statewide'!K13</f>
        <v>0.30496297644478076</v>
      </c>
      <c r="L13" s="21"/>
      <c r="N13" s="21"/>
      <c r="O13" s="21"/>
      <c r="P13" s="21"/>
      <c r="Q13" s="21"/>
      <c r="T13" s="21"/>
      <c r="U13" s="21"/>
      <c r="V13" s="21"/>
      <c r="W13" s="21"/>
    </row>
    <row r="14" spans="1:25" x14ac:dyDescent="0.25">
      <c r="A14" s="7" t="s">
        <v>12</v>
      </c>
      <c r="B14" s="8">
        <f>SUM(B4:B13)</f>
        <v>4.1993428678168074</v>
      </c>
      <c r="C14" s="8">
        <f>SUM(C4:C13)</f>
        <v>3.9210675045261651</v>
      </c>
      <c r="D14" s="8">
        <f>SUM(D4:D13)</f>
        <v>3.6370254710564884</v>
      </c>
      <c r="E14" s="9">
        <f>SUM(E4:E13)</f>
        <v>3.3053748814575687</v>
      </c>
      <c r="G14" s="7" t="s">
        <v>12</v>
      </c>
      <c r="H14" s="8">
        <f>SUM(H4:H13)</f>
        <v>4.1487839222936396</v>
      </c>
      <c r="I14" s="8">
        <f>SUM(I4:I13)</f>
        <v>3.6444014445413</v>
      </c>
      <c r="J14" s="8">
        <f>SUM(J4:J13)</f>
        <v>3.0603584531529893</v>
      </c>
      <c r="K14" s="9">
        <f>SUM(K4:K13)</f>
        <v>2.1629036429645665</v>
      </c>
    </row>
    <row r="15" spans="1:25" x14ac:dyDescent="0.25">
      <c r="L15" s="22"/>
    </row>
    <row r="16" spans="1:25" x14ac:dyDescent="0.25">
      <c r="H16" s="21"/>
      <c r="I16" s="21"/>
      <c r="J16" s="21"/>
      <c r="K16" s="21"/>
      <c r="L16" s="22"/>
      <c r="M16" s="21"/>
      <c r="N16" s="21"/>
      <c r="O16" s="21"/>
      <c r="P16" s="21"/>
    </row>
    <row r="17" spans="1:16" x14ac:dyDescent="0.25">
      <c r="B17" s="21"/>
      <c r="C17" s="21"/>
      <c r="D17" s="21"/>
      <c r="E17" s="21"/>
      <c r="H17" s="21"/>
      <c r="I17" s="21"/>
      <c r="J17" s="21"/>
      <c r="K17" s="21"/>
      <c r="L17" s="22"/>
      <c r="M17" s="21"/>
      <c r="N17" s="21"/>
      <c r="O17" s="21"/>
      <c r="P17" s="21"/>
    </row>
    <row r="18" spans="1:16" x14ac:dyDescent="0.25">
      <c r="B18" s="21"/>
      <c r="L18" s="22"/>
    </row>
    <row r="19" spans="1:16" x14ac:dyDescent="0.25">
      <c r="B19" s="23"/>
      <c r="C19" s="23"/>
      <c r="D19" s="23"/>
      <c r="E19" s="23"/>
      <c r="H19" s="21"/>
      <c r="I19" s="21"/>
      <c r="J19" s="21"/>
      <c r="K19" s="21"/>
      <c r="L19" s="22"/>
    </row>
    <row r="20" spans="1:16" x14ac:dyDescent="0.25">
      <c r="B20" s="21"/>
      <c r="C20" s="21"/>
      <c r="D20" s="21"/>
      <c r="E20" s="21"/>
      <c r="H20" s="23"/>
      <c r="I20" s="23"/>
      <c r="J20" s="23"/>
      <c r="K20" s="23"/>
      <c r="L20" s="22"/>
      <c r="M20" s="21"/>
      <c r="N20" s="21"/>
      <c r="O20" s="21"/>
      <c r="P20" s="21"/>
    </row>
    <row r="21" spans="1:16" x14ac:dyDescent="0.25">
      <c r="L21" s="22"/>
    </row>
    <row r="22" spans="1:16" ht="33.75" customHeight="1" x14ac:dyDescent="0.25">
      <c r="A22" s="231" t="s">
        <v>472</v>
      </c>
      <c r="B22" s="232"/>
      <c r="C22" s="232"/>
      <c r="D22" s="232"/>
      <c r="E22" s="233"/>
      <c r="G22" s="231" t="s">
        <v>473</v>
      </c>
      <c r="H22" s="232"/>
      <c r="I22" s="232"/>
      <c r="J22" s="232"/>
      <c r="K22" s="233"/>
      <c r="L22" s="22"/>
    </row>
    <row r="23" spans="1:16" x14ac:dyDescent="0.25">
      <c r="A23" s="14" t="s">
        <v>0</v>
      </c>
      <c r="B23" s="15">
        <v>2015</v>
      </c>
      <c r="C23" s="15">
        <v>2025</v>
      </c>
      <c r="D23" s="15">
        <v>2035</v>
      </c>
      <c r="E23" s="16">
        <v>2050</v>
      </c>
      <c r="G23" s="14" t="s">
        <v>0</v>
      </c>
      <c r="H23" s="15">
        <v>2015</v>
      </c>
      <c r="I23" s="15">
        <v>2025</v>
      </c>
      <c r="J23" s="15">
        <v>2035</v>
      </c>
      <c r="K23" s="16">
        <v>2050</v>
      </c>
    </row>
    <row r="24" spans="1:16" x14ac:dyDescent="0.25">
      <c r="A24" s="1" t="s">
        <v>21</v>
      </c>
      <c r="B24" s="4">
        <f>res_share_state_target*'LEAP Statewide'!B24*1000</f>
        <v>3.7550410468134836</v>
      </c>
      <c r="C24" s="4">
        <f>res_share_state_target*'LEAP Statewide'!C24*1000</f>
        <v>3.0844980027396467</v>
      </c>
      <c r="D24" s="4">
        <f>res_share_state_target*'LEAP Statewide'!D24*1000</f>
        <v>2.682172176295345</v>
      </c>
      <c r="E24" s="5">
        <f>res_share_state_target*'LEAP Statewide'!E24*1000</f>
        <v>2.2798463498510433</v>
      </c>
      <c r="G24" s="1" t="s">
        <v>21</v>
      </c>
      <c r="H24" s="4">
        <f>res_share_state_target*'LEAP Statewide'!H24*1000</f>
        <v>3.7550410468134836</v>
      </c>
      <c r="I24" s="4">
        <f>res_share_state_target*'LEAP Statewide'!I24*1000</f>
        <v>3.0844980027396467</v>
      </c>
      <c r="J24" s="4">
        <f>res_share_state_target*'LEAP Statewide'!J24*1000</f>
        <v>1.4751946969624399</v>
      </c>
      <c r="K24" s="5">
        <f>res_share_state_target*'LEAP Statewide'!K24*1000</f>
        <v>0.13410860881476727</v>
      </c>
    </row>
    <row r="25" spans="1:16" x14ac:dyDescent="0.25">
      <c r="A25" s="1" t="s">
        <v>22</v>
      </c>
      <c r="B25" s="4">
        <f>res_share_state_target*'LEAP Statewide'!B25*1000</f>
        <v>0.53643443525906909</v>
      </c>
      <c r="C25" s="4">
        <f>res_share_state_target*'LEAP Statewide'!C25*1000</f>
        <v>0.40232582644430182</v>
      </c>
      <c r="D25" s="4">
        <f>res_share_state_target*'LEAP Statewide'!D25*1000</f>
        <v>0.40232582644430182</v>
      </c>
      <c r="E25" s="5">
        <f>res_share_state_target*'LEAP Statewide'!E25*1000</f>
        <v>0.26821721762953454</v>
      </c>
      <c r="G25" s="1" t="s">
        <v>22</v>
      </c>
      <c r="H25" s="4">
        <f>res_share_state_target*'LEAP Statewide'!H25*1000</f>
        <v>0.53643443525906909</v>
      </c>
      <c r="I25" s="4">
        <f>res_share_state_target*'LEAP Statewide'!I25*1000</f>
        <v>0.40232582644430182</v>
      </c>
      <c r="J25" s="4">
        <f>res_share_state_target*'LEAP Statewide'!J25*1000</f>
        <v>0.13410860881476727</v>
      </c>
      <c r="K25" s="5">
        <f>res_share_state_target*'LEAP Statewide'!K25*1000</f>
        <v>0</v>
      </c>
    </row>
    <row r="26" spans="1:16" x14ac:dyDescent="0.25">
      <c r="A26" s="1" t="s">
        <v>23</v>
      </c>
      <c r="B26" s="4">
        <f>res_share_state_target*'LEAP Statewide'!B26*1000</f>
        <v>0</v>
      </c>
      <c r="C26" s="4">
        <f>res_share_state_target*'LEAP Statewide'!C26*1000</f>
        <v>0</v>
      </c>
      <c r="D26" s="4">
        <f>res_share_state_target*'LEAP Statewide'!D26*1000</f>
        <v>0</v>
      </c>
      <c r="E26" s="5">
        <f>res_share_state_target*'LEAP Statewide'!E26*1000</f>
        <v>0</v>
      </c>
      <c r="G26" s="1" t="s">
        <v>23</v>
      </c>
      <c r="H26" s="4">
        <f>res_share_state_target*'LEAP Statewide'!H26*1000</f>
        <v>0</v>
      </c>
      <c r="I26" s="4">
        <f>res_share_state_target*'LEAP Statewide'!I26*1000</f>
        <v>0</v>
      </c>
      <c r="J26" s="4">
        <f>res_share_state_target*'LEAP Statewide'!J26*1000</f>
        <v>0.26821721762953454</v>
      </c>
      <c r="K26" s="5">
        <f>res_share_state_target*'LEAP Statewide'!K26*1000</f>
        <v>0.67054304407383625</v>
      </c>
    </row>
    <row r="27" spans="1:16" x14ac:dyDescent="0.25">
      <c r="A27" s="1" t="s">
        <v>20</v>
      </c>
      <c r="B27" s="4">
        <f>res_share_state_target*'LEAP Statewide'!B27*1000</f>
        <v>0.13410860881476727</v>
      </c>
      <c r="C27" s="4">
        <f>res_share_state_target*'LEAP Statewide'!C27*1000</f>
        <v>0.13410860881476727</v>
      </c>
      <c r="D27" s="4">
        <f>res_share_state_target*'LEAP Statewide'!D27*1000</f>
        <v>0.13410860881476727</v>
      </c>
      <c r="E27" s="5">
        <f>res_share_state_target*'LEAP Statewide'!E27*1000</f>
        <v>0.13410860881476727</v>
      </c>
      <c r="G27" s="1" t="s">
        <v>20</v>
      </c>
      <c r="H27" s="4">
        <f>res_share_state_target*'LEAP Statewide'!H27*1000</f>
        <v>0.13410860881476727</v>
      </c>
      <c r="I27" s="4">
        <f>res_share_state_target*'LEAP Statewide'!I27*1000</f>
        <v>0.13410860881476727</v>
      </c>
      <c r="J27" s="4">
        <f>res_share_state_target*'LEAP Statewide'!J27*1000</f>
        <v>0</v>
      </c>
      <c r="K27" s="5">
        <f>res_share_state_target*'LEAP Statewide'!K27*1000</f>
        <v>0</v>
      </c>
    </row>
    <row r="28" spans="1:16" x14ac:dyDescent="0.25">
      <c r="A28" s="1" t="s">
        <v>18</v>
      </c>
      <c r="B28" s="4">
        <f>res_share_state_target*'LEAP Statewide'!B28*1000</f>
        <v>0</v>
      </c>
      <c r="C28" s="4">
        <f>res_share_state_target*'LEAP Statewide'!C28*1000</f>
        <v>0</v>
      </c>
      <c r="D28" s="4">
        <f>res_share_state_target*'LEAP Statewide'!D28*1000</f>
        <v>0</v>
      </c>
      <c r="E28" s="5">
        <f>res_share_state_target*'LEAP Statewide'!E28*1000</f>
        <v>0</v>
      </c>
      <c r="G28" s="1" t="s">
        <v>18</v>
      </c>
      <c r="H28" s="4">
        <f>res_share_state_target*'LEAP Statewide'!H28*1000</f>
        <v>0</v>
      </c>
      <c r="I28" s="4">
        <f>res_share_state_target*'LEAP Statewide'!I28*1000</f>
        <v>0</v>
      </c>
      <c r="J28" s="4">
        <f>res_share_state_target*'LEAP Statewide'!J28*1000</f>
        <v>0.13410860881476727</v>
      </c>
      <c r="K28" s="5">
        <f>res_share_state_target*'LEAP Statewide'!K28*1000</f>
        <v>0.13410860881476727</v>
      </c>
    </row>
    <row r="29" spans="1:16" x14ac:dyDescent="0.25">
      <c r="A29" s="6" t="s">
        <v>24</v>
      </c>
      <c r="B29" s="18">
        <f>res_share_state_target*'LEAP Statewide'!B29*1000</f>
        <v>0</v>
      </c>
      <c r="C29" s="18">
        <f>res_share_state_target*'LEAP Statewide'!C29*1000</f>
        <v>0</v>
      </c>
      <c r="D29" s="18">
        <f>res_share_state_target*'LEAP Statewide'!D29*1000</f>
        <v>0</v>
      </c>
      <c r="E29" s="19">
        <f>res_share_state_target*'LEAP Statewide'!E29*1000</f>
        <v>0</v>
      </c>
      <c r="G29" s="1" t="s">
        <v>24</v>
      </c>
      <c r="H29" s="4">
        <f>res_share_state_target*'LEAP Statewide'!H29*1000</f>
        <v>0</v>
      </c>
      <c r="I29" s="4">
        <f>res_share_state_target*'LEAP Statewide'!I29*1000</f>
        <v>0</v>
      </c>
      <c r="J29" s="4">
        <f>res_share_state_target*'LEAP Statewide'!J29*1000</f>
        <v>0</v>
      </c>
      <c r="K29" s="5">
        <f>res_share_state_target*'LEAP Statewide'!K29*1000</f>
        <v>0</v>
      </c>
    </row>
    <row r="30" spans="1:16" x14ac:dyDescent="0.25">
      <c r="A30" s="7" t="s">
        <v>12</v>
      </c>
      <c r="B30" s="8">
        <f>SUM(B24:B29)</f>
        <v>4.4255840908873196</v>
      </c>
      <c r="C30" s="8">
        <f>SUM(C24:C29)</f>
        <v>3.6209324379987158</v>
      </c>
      <c r="D30" s="8">
        <f>SUM(D24:D29)</f>
        <v>3.2186066115544141</v>
      </c>
      <c r="E30" s="9">
        <f>SUM(E24:E29)</f>
        <v>2.6821721762953454</v>
      </c>
      <c r="G30" s="7" t="s">
        <v>12</v>
      </c>
      <c r="H30" s="8">
        <f>SUM(H24:H29)</f>
        <v>4.4255840908873196</v>
      </c>
      <c r="I30" s="8">
        <f>SUM(I24:I29)</f>
        <v>3.6209324379987158</v>
      </c>
      <c r="J30" s="8">
        <f>SUM(J24:J29)</f>
        <v>2.011629132221509</v>
      </c>
      <c r="K30" s="9">
        <f>SUM(K24:K29)</f>
        <v>0.93876026170337079</v>
      </c>
    </row>
    <row r="32" spans="1:16" ht="30" hidden="1" customHeight="1" x14ac:dyDescent="0.25"/>
    <row r="33" spans="1:11" ht="15" hidden="1" customHeight="1" x14ac:dyDescent="0.25">
      <c r="A33" t="s">
        <v>37</v>
      </c>
      <c r="G33" t="s">
        <v>38</v>
      </c>
    </row>
    <row r="34" spans="1:11" ht="15" hidden="1" customHeight="1" x14ac:dyDescent="0.25">
      <c r="A34" t="s">
        <v>0</v>
      </c>
      <c r="B34">
        <v>2015</v>
      </c>
      <c r="C34">
        <v>2025</v>
      </c>
      <c r="D34">
        <v>2035</v>
      </c>
      <c r="E34">
        <v>2050</v>
      </c>
      <c r="G34" t="s">
        <v>0</v>
      </c>
      <c r="H34">
        <v>2015</v>
      </c>
      <c r="I34">
        <v>2025</v>
      </c>
      <c r="J34">
        <v>2035</v>
      </c>
      <c r="K34">
        <v>2050</v>
      </c>
    </row>
    <row r="35" spans="1:11" ht="15" hidden="1" customHeight="1" x14ac:dyDescent="0.25">
      <c r="A35" t="s">
        <v>41</v>
      </c>
      <c r="B35">
        <v>0.3</v>
      </c>
      <c r="C35">
        <v>0.4</v>
      </c>
      <c r="D35">
        <v>0.5</v>
      </c>
      <c r="E35">
        <v>0.6</v>
      </c>
      <c r="G35" t="s">
        <v>41</v>
      </c>
      <c r="H35">
        <v>0.3</v>
      </c>
      <c r="I35">
        <v>0.4</v>
      </c>
      <c r="J35">
        <v>0.6</v>
      </c>
      <c r="K35">
        <v>0.7</v>
      </c>
    </row>
    <row r="36" spans="1:11" ht="15" hidden="1" customHeight="1" x14ac:dyDescent="0.25">
      <c r="A36" t="s">
        <v>26</v>
      </c>
      <c r="B36">
        <v>0.9</v>
      </c>
      <c r="C36">
        <v>1</v>
      </c>
      <c r="D36">
        <v>1.2</v>
      </c>
      <c r="E36">
        <v>1.5</v>
      </c>
      <c r="G36" t="s">
        <v>26</v>
      </c>
      <c r="H36">
        <v>0.9</v>
      </c>
      <c r="I36">
        <v>0.9</v>
      </c>
      <c r="J36">
        <v>1</v>
      </c>
      <c r="K36">
        <v>1.1000000000000001</v>
      </c>
    </row>
    <row r="37" spans="1:11" ht="15" hidden="1" customHeight="1" x14ac:dyDescent="0.25">
      <c r="A37" t="s">
        <v>39</v>
      </c>
      <c r="B37">
        <v>0.4</v>
      </c>
      <c r="C37">
        <v>0.4</v>
      </c>
      <c r="D37">
        <v>0.4</v>
      </c>
      <c r="E37">
        <v>0.3</v>
      </c>
      <c r="G37" t="s">
        <v>39</v>
      </c>
      <c r="H37">
        <v>0.5</v>
      </c>
      <c r="I37">
        <v>0.5</v>
      </c>
      <c r="J37">
        <v>0.4</v>
      </c>
      <c r="K37">
        <v>0.4</v>
      </c>
    </row>
    <row r="38" spans="1:11" ht="15" hidden="1" customHeight="1" x14ac:dyDescent="0.25">
      <c r="A38" t="s">
        <v>27</v>
      </c>
      <c r="B38">
        <v>0.1</v>
      </c>
      <c r="C38">
        <v>0.1</v>
      </c>
      <c r="D38">
        <v>0.1</v>
      </c>
      <c r="E38">
        <v>0.1</v>
      </c>
      <c r="G38" t="s">
        <v>27</v>
      </c>
      <c r="H38">
        <v>0.1</v>
      </c>
      <c r="I38">
        <v>0.1</v>
      </c>
      <c r="J38">
        <v>0.1</v>
      </c>
      <c r="K38">
        <v>0.1</v>
      </c>
    </row>
    <row r="39" spans="1:11" ht="15" hidden="1" customHeight="1" x14ac:dyDescent="0.25">
      <c r="A39" t="s">
        <v>28</v>
      </c>
      <c r="B39">
        <v>1.8</v>
      </c>
      <c r="C39">
        <v>1.6</v>
      </c>
      <c r="D39">
        <v>1.4</v>
      </c>
      <c r="E39">
        <v>1.3</v>
      </c>
      <c r="G39" t="s">
        <v>28</v>
      </c>
      <c r="H39">
        <v>1.7</v>
      </c>
      <c r="I39">
        <v>1.3</v>
      </c>
      <c r="J39">
        <v>0.9</v>
      </c>
      <c r="K39">
        <v>0.6</v>
      </c>
    </row>
    <row r="40" spans="1:11" ht="15" hidden="1" customHeight="1" x14ac:dyDescent="0.25">
      <c r="A40" t="s">
        <v>29</v>
      </c>
      <c r="B40">
        <v>2.5</v>
      </c>
      <c r="C40">
        <v>3.5</v>
      </c>
      <c r="D40">
        <v>4.5999999999999996</v>
      </c>
      <c r="E40">
        <v>6.1</v>
      </c>
      <c r="G40" t="s">
        <v>29</v>
      </c>
      <c r="H40">
        <v>2.1</v>
      </c>
      <c r="I40">
        <v>2.2000000000000002</v>
      </c>
      <c r="J40">
        <v>2.2000000000000002</v>
      </c>
      <c r="K40">
        <v>2.2000000000000002</v>
      </c>
    </row>
    <row r="41" spans="1:11" ht="15" hidden="1" customHeight="1" x14ac:dyDescent="0.25">
      <c r="A41" t="s">
        <v>40</v>
      </c>
      <c r="B41">
        <v>0.2</v>
      </c>
      <c r="C41">
        <v>0.2</v>
      </c>
      <c r="D41">
        <v>0.2</v>
      </c>
      <c r="E41">
        <v>0.2</v>
      </c>
      <c r="G41" t="s">
        <v>40</v>
      </c>
      <c r="H41">
        <v>0.2</v>
      </c>
      <c r="I41">
        <v>0.2</v>
      </c>
      <c r="J41">
        <v>0.2</v>
      </c>
      <c r="K41">
        <v>0.2</v>
      </c>
    </row>
    <row r="42" spans="1:11" ht="15" hidden="1" customHeight="1" x14ac:dyDescent="0.25">
      <c r="A42" t="s">
        <v>12</v>
      </c>
      <c r="B42">
        <f>SUM(B35:B41)</f>
        <v>6.2</v>
      </c>
      <c r="C42">
        <f>SUM(C35:C41)</f>
        <v>7.2</v>
      </c>
      <c r="D42">
        <f>SUM(D35:D41)</f>
        <v>8.3999999999999986</v>
      </c>
      <c r="E42">
        <f>SUM(E35:E41)</f>
        <v>10.099999999999998</v>
      </c>
      <c r="G42" t="s">
        <v>12</v>
      </c>
      <c r="H42">
        <f>SUM(H35:H41)</f>
        <v>5.8</v>
      </c>
      <c r="I42">
        <f>SUM(I35:I41)</f>
        <v>5.6000000000000005</v>
      </c>
      <c r="J42">
        <f>SUM(J35:J41)</f>
        <v>5.4</v>
      </c>
      <c r="K42">
        <f>SUM(K35:K41)</f>
        <v>5.3000000000000007</v>
      </c>
    </row>
    <row r="43" spans="1:11" ht="15" hidden="1" customHeight="1" x14ac:dyDescent="0.25"/>
    <row r="44" spans="1:11" ht="15" hidden="1" customHeight="1" x14ac:dyDescent="0.25"/>
    <row r="45" spans="1:11" ht="16.5" hidden="1" customHeight="1" x14ac:dyDescent="0.25"/>
    <row r="46" spans="1:11" ht="0.75" customHeight="1" x14ac:dyDescent="0.25"/>
    <row r="47" spans="1:11" ht="33.75" customHeight="1" x14ac:dyDescent="0.25"/>
    <row r="48" spans="1:11" ht="58.5" customHeight="1" x14ac:dyDescent="0.25">
      <c r="A48" s="234" t="s">
        <v>184</v>
      </c>
      <c r="B48" s="17">
        <v>2015</v>
      </c>
      <c r="C48" s="17">
        <v>2025</v>
      </c>
      <c r="D48" s="17">
        <v>2035</v>
      </c>
      <c r="E48" s="17">
        <v>2050</v>
      </c>
    </row>
    <row r="49" spans="1:5" ht="89.25" customHeight="1" x14ac:dyDescent="0.25">
      <c r="A49" s="234"/>
      <c r="B49" s="20">
        <f>res_share_state_target*'LEAP Statewide'!B49</f>
        <v>1.3813186707921027E-2</v>
      </c>
      <c r="C49" s="20">
        <f>res_share_state_target*'LEAP Statewide'!C49</f>
        <v>6.6115544145680258E-2</v>
      </c>
      <c r="D49" s="20">
        <f>res_share_state_target*'LEAP Statewide'!D49</f>
        <v>0.11466286053662601</v>
      </c>
      <c r="E49" s="20">
        <f>res_share_state_target*'LEAP Statewide'!E49</f>
        <v>0.18909313842882183</v>
      </c>
    </row>
  </sheetData>
  <mergeCells count="7">
    <mergeCell ref="A48:A49"/>
    <mergeCell ref="A2:E2"/>
    <mergeCell ref="G2:K2"/>
    <mergeCell ref="M2:Q2"/>
    <mergeCell ref="S2:W2"/>
    <mergeCell ref="A22:E22"/>
    <mergeCell ref="G22:K22"/>
  </mergeCells>
  <pageMargins left="0.7" right="0.7" top="0.75" bottom="0.75" header="0.3" footer="0.3"/>
  <ignoredErrors>
    <ignoredError sqref="B14:E14 H14:K14 N11:Q11 T11:W1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zoomScale="70" zoomScaleNormal="70" workbookViewId="0">
      <selection activeCell="X11" sqref="X11"/>
    </sheetView>
  </sheetViews>
  <sheetFormatPr defaultRowHeight="15" x14ac:dyDescent="0.25"/>
  <cols>
    <col min="1" max="1" width="23.7109375" customWidth="1"/>
    <col min="2" max="5" width="13" customWidth="1"/>
    <col min="7" max="7" width="24.140625" customWidth="1"/>
    <col min="8" max="11" width="13" customWidth="1"/>
    <col min="13" max="13" width="22" customWidth="1"/>
    <col min="14" max="17" width="13" customWidth="1"/>
    <col min="19" max="19" width="21.7109375" customWidth="1"/>
    <col min="20" max="23" width="13" customWidth="1"/>
    <col min="25" max="25" width="11.85546875" customWidth="1"/>
  </cols>
  <sheetData>
    <row r="1" spans="1:25" ht="46.5" x14ac:dyDescent="0.7">
      <c r="A1" s="211" t="s">
        <v>538</v>
      </c>
    </row>
    <row r="2" spans="1:25" ht="32.25" customHeight="1" x14ac:dyDescent="0.25">
      <c r="A2" s="231" t="s">
        <v>25</v>
      </c>
      <c r="B2" s="232"/>
      <c r="C2" s="232"/>
      <c r="D2" s="232"/>
      <c r="E2" s="233"/>
      <c r="G2" s="231" t="s">
        <v>30</v>
      </c>
      <c r="H2" s="232"/>
      <c r="I2" s="232"/>
      <c r="J2" s="232"/>
      <c r="K2" s="233"/>
      <c r="M2" s="231" t="s">
        <v>31</v>
      </c>
      <c r="N2" s="232"/>
      <c r="O2" s="232"/>
      <c r="P2" s="232"/>
      <c r="Q2" s="233"/>
      <c r="R2" s="10"/>
      <c r="S2" s="231" t="s">
        <v>32</v>
      </c>
      <c r="T2" s="232"/>
      <c r="U2" s="232"/>
      <c r="V2" s="232"/>
      <c r="W2" s="233"/>
    </row>
    <row r="3" spans="1:25" x14ac:dyDescent="0.25">
      <c r="A3" s="11" t="s">
        <v>0</v>
      </c>
      <c r="B3" s="12">
        <v>2015</v>
      </c>
      <c r="C3" s="12">
        <v>2025</v>
      </c>
      <c r="D3" s="12">
        <v>2035</v>
      </c>
      <c r="E3" s="13">
        <v>2050</v>
      </c>
      <c r="G3" s="11" t="s">
        <v>0</v>
      </c>
      <c r="H3" s="12">
        <v>2015</v>
      </c>
      <c r="I3" s="12">
        <v>2025</v>
      </c>
      <c r="J3" s="12">
        <v>2035</v>
      </c>
      <c r="K3" s="13">
        <v>2050</v>
      </c>
      <c r="M3" s="11" t="s">
        <v>0</v>
      </c>
      <c r="N3" s="12">
        <v>2015</v>
      </c>
      <c r="O3" s="12">
        <v>2025</v>
      </c>
      <c r="P3" s="12">
        <v>2035</v>
      </c>
      <c r="Q3" s="13">
        <v>2050</v>
      </c>
      <c r="R3" s="2"/>
      <c r="S3" s="11" t="s">
        <v>0</v>
      </c>
      <c r="T3" s="12">
        <v>2015</v>
      </c>
      <c r="U3" s="12">
        <v>2025</v>
      </c>
      <c r="V3" s="12">
        <v>2035</v>
      </c>
      <c r="W3" s="13">
        <v>2050</v>
      </c>
    </row>
    <row r="4" spans="1:25" x14ac:dyDescent="0.25">
      <c r="A4" s="1" t="s">
        <v>1</v>
      </c>
      <c r="B4" s="2">
        <f>res_share_region_target*'LEAP Scenario'!B4</f>
        <v>0</v>
      </c>
      <c r="C4" s="2">
        <f>res_share_region_target*'LEAP Scenario'!C4</f>
        <v>0</v>
      </c>
      <c r="D4" s="2">
        <f>res_share_region_target*'LEAP Scenario'!D4</f>
        <v>0</v>
      </c>
      <c r="E4" s="3">
        <f>res_share_region_target*'LEAP Scenario'!E4</f>
        <v>0</v>
      </c>
      <c r="G4" s="1" t="s">
        <v>1</v>
      </c>
      <c r="H4" s="4">
        <f>res_share_region_target*'LEAP Scenario'!H4</f>
        <v>1.8232558139534883E-2</v>
      </c>
      <c r="I4" s="4">
        <f>res_share_region_target*'LEAP Scenario'!I4</f>
        <v>6.5116279069767441E-2</v>
      </c>
      <c r="J4" s="4">
        <f>res_share_region_target*'LEAP Scenario'!J4</f>
        <v>0.10679069767441859</v>
      </c>
      <c r="K4" s="5">
        <f>res_share_region_target*'LEAP Scenario'!K4</f>
        <v>0.1653953488372093</v>
      </c>
      <c r="L4" s="21"/>
      <c r="M4" s="1" t="s">
        <v>13</v>
      </c>
      <c r="N4" s="4">
        <f>com_share_region_target*'LEAP Scenario'!N4</f>
        <v>0</v>
      </c>
      <c r="O4" s="4">
        <f>com_share_region_target*'LEAP Scenario'!O4</f>
        <v>0</v>
      </c>
      <c r="P4" s="4">
        <f>com_share_region_target*'LEAP Scenario'!P4</f>
        <v>0</v>
      </c>
      <c r="Q4" s="5">
        <f>com_share_region_target*'LEAP Scenario'!Q4</f>
        <v>0</v>
      </c>
      <c r="R4" s="2"/>
      <c r="S4" s="1" t="s">
        <v>13</v>
      </c>
      <c r="T4" s="4">
        <f>com_share_region_target*'LEAP Scenario'!T4</f>
        <v>0</v>
      </c>
      <c r="U4" s="4">
        <f>com_share_region_target*'LEAP Scenario'!U4</f>
        <v>0</v>
      </c>
      <c r="V4" s="4">
        <f>com_share_region_target*'LEAP Scenario'!V4</f>
        <v>0</v>
      </c>
      <c r="W4" s="5">
        <f>com_share_region_target*'LEAP Scenario'!W4</f>
        <v>0</v>
      </c>
      <c r="Y4" s="23"/>
    </row>
    <row r="5" spans="1:25" x14ac:dyDescent="0.25">
      <c r="A5" s="1" t="s">
        <v>3</v>
      </c>
      <c r="B5" s="4">
        <f>res_share_region_target*'LEAP Scenario'!B5</f>
        <v>2.4613953488372093</v>
      </c>
      <c r="C5" s="4">
        <f>res_share_region_target*'LEAP Scenario'!C5</f>
        <v>2.0420465116279067</v>
      </c>
      <c r="D5" s="4">
        <f>res_share_region_target*'LEAP Scenario'!D5</f>
        <v>1.6943255813953488</v>
      </c>
      <c r="E5" s="5">
        <f>res_share_region_target*'LEAP Scenario'!E5</f>
        <v>1.2906046511627907</v>
      </c>
      <c r="G5" s="1" t="s">
        <v>3</v>
      </c>
      <c r="H5" s="4">
        <f>res_share_region_target*'LEAP Scenario'!H5</f>
        <v>2.4210232558139535</v>
      </c>
      <c r="I5" s="4">
        <f>res_share_region_target*'LEAP Scenario'!I5</f>
        <v>1.9144186046511626</v>
      </c>
      <c r="J5" s="4">
        <f>res_share_region_target*'LEAP Scenario'!J5</f>
        <v>1.4690232558139533</v>
      </c>
      <c r="K5" s="5">
        <f>res_share_region_target*'LEAP Scenario'!K5</f>
        <v>0.97674418604651159</v>
      </c>
      <c r="L5" s="21"/>
      <c r="M5" s="1" t="s">
        <v>14</v>
      </c>
      <c r="N5" s="4">
        <f>com_share_region_target*'LEAP Scenario'!N5</f>
        <v>0</v>
      </c>
      <c r="O5" s="4">
        <f>com_share_region_target*'LEAP Scenario'!O5</f>
        <v>0</v>
      </c>
      <c r="P5" s="4">
        <f>com_share_region_target*'LEAP Scenario'!P5</f>
        <v>0</v>
      </c>
      <c r="Q5" s="5">
        <f>com_share_region_target*'LEAP Scenario'!Q5</f>
        <v>0</v>
      </c>
      <c r="R5" s="2"/>
      <c r="S5" s="1" t="s">
        <v>14</v>
      </c>
      <c r="T5" s="4">
        <f>com_share_region_target*'LEAP Scenario'!T5</f>
        <v>0</v>
      </c>
      <c r="U5" s="4">
        <f>com_share_region_target*'LEAP Scenario'!U5</f>
        <v>0</v>
      </c>
      <c r="V5" s="4">
        <f>com_share_region_target*'LEAP Scenario'!V5</f>
        <v>0</v>
      </c>
      <c r="W5" s="5">
        <f>com_share_region_target*'LEAP Scenario'!W5</f>
        <v>0</v>
      </c>
      <c r="Y5" s="92"/>
    </row>
    <row r="6" spans="1:25" x14ac:dyDescent="0.25">
      <c r="A6" s="1" t="s">
        <v>4</v>
      </c>
      <c r="B6" s="4">
        <f>res_share_region_target*'LEAP Scenario'!B6</f>
        <v>0.24874418604651161</v>
      </c>
      <c r="C6" s="4">
        <f>res_share_region_target*'LEAP Scenario'!C6</f>
        <v>0.18493023255813953</v>
      </c>
      <c r="D6" s="4">
        <f>res_share_region_target*'LEAP Scenario'!D6</f>
        <v>0.10679069767441859</v>
      </c>
      <c r="E6" s="5">
        <f>res_share_region_target*'LEAP Scenario'!E6</f>
        <v>3.1255813953488372E-2</v>
      </c>
      <c r="G6" s="1" t="s">
        <v>4</v>
      </c>
      <c r="H6" s="4">
        <f>res_share_region_target*'LEAP Scenario'!H6</f>
        <v>0.26958139534883718</v>
      </c>
      <c r="I6" s="4">
        <f>res_share_region_target*'LEAP Scenario'!I6</f>
        <v>0.24353488372093021</v>
      </c>
      <c r="J6" s="4">
        <f>res_share_region_target*'LEAP Scenario'!J6</f>
        <v>0.13283720930232557</v>
      </c>
      <c r="K6" s="5">
        <f>res_share_region_target*'LEAP Scenario'!K6</f>
        <v>4.0372093023255812E-2</v>
      </c>
      <c r="L6" s="21"/>
      <c r="M6" s="1" t="s">
        <v>15</v>
      </c>
      <c r="N6" s="89">
        <f>com_share_region_target*'LEAP Scenario'!N6</f>
        <v>0</v>
      </c>
      <c r="O6" s="89">
        <f>com_share_region_target*'LEAP Scenario'!O6</f>
        <v>0</v>
      </c>
      <c r="P6" s="89">
        <f>com_share_region_target*'LEAP Scenario'!P6</f>
        <v>0</v>
      </c>
      <c r="Q6" s="90">
        <f>com_share_region_target*'LEAP Scenario'!Q6</f>
        <v>0</v>
      </c>
      <c r="R6" s="4"/>
      <c r="S6" s="1" t="s">
        <v>15</v>
      </c>
      <c r="T6" s="89">
        <f>com_share_region_target*'LEAP Scenario'!T6</f>
        <v>0</v>
      </c>
      <c r="U6" s="89">
        <f>com_share_region_target*'LEAP Scenario'!U6</f>
        <v>0</v>
      </c>
      <c r="V6" s="89">
        <f>com_share_region_target*'LEAP Scenario'!V6</f>
        <v>0</v>
      </c>
      <c r="W6" s="90">
        <f>com_share_region_target*'LEAP Scenario'!W6</f>
        <v>0</v>
      </c>
      <c r="Y6" s="92"/>
    </row>
    <row r="7" spans="1:25" x14ac:dyDescent="0.25">
      <c r="A7" s="1" t="s">
        <v>5</v>
      </c>
      <c r="B7" s="4">
        <f>res_share_region_target*'LEAP Scenario'!B7</f>
        <v>3.3860465116279069E-2</v>
      </c>
      <c r="C7" s="4">
        <f>res_share_region_target*'LEAP Scenario'!C7</f>
        <v>0.16018604651162791</v>
      </c>
      <c r="D7" s="4">
        <f>res_share_region_target*'LEAP Scenario'!D7</f>
        <v>0.24874418604651161</v>
      </c>
      <c r="E7" s="5">
        <f>res_share_region_target*'LEAP Scenario'!E7</f>
        <v>0.31255813953488371</v>
      </c>
      <c r="G7" s="1" t="s">
        <v>5</v>
      </c>
      <c r="H7" s="4">
        <f>res_share_region_target*'LEAP Scenario'!H7</f>
        <v>2.995348837209302E-2</v>
      </c>
      <c r="I7" s="4">
        <f>res_share_region_target*'LEAP Scenario'!I7</f>
        <v>0.14325581395348835</v>
      </c>
      <c r="J7" s="4">
        <f>res_share_region_target*'LEAP Scenario'!J7</f>
        <v>0.2930232558139535</v>
      </c>
      <c r="K7" s="5">
        <f>res_share_region_target*'LEAP Scenario'!K7</f>
        <v>0.35162790697674418</v>
      </c>
      <c r="M7" s="1" t="s">
        <v>8</v>
      </c>
      <c r="N7" s="4">
        <f>com_share_region_target*'LEAP Scenario'!N7</f>
        <v>0</v>
      </c>
      <c r="O7" s="4">
        <f>com_share_region_target*'LEAP Scenario'!O7</f>
        <v>0</v>
      </c>
      <c r="P7" s="4">
        <f>com_share_region_target*'LEAP Scenario'!P7</f>
        <v>0</v>
      </c>
      <c r="Q7" s="5">
        <f>com_share_region_target*'LEAP Scenario'!Q7</f>
        <v>0</v>
      </c>
      <c r="R7" s="4"/>
      <c r="S7" s="1" t="s">
        <v>8</v>
      </c>
      <c r="T7" s="4">
        <f>com_share_region_target*'LEAP Scenario'!T7</f>
        <v>0</v>
      </c>
      <c r="U7" s="4">
        <f>com_share_region_target*'LEAP Scenario'!U7</f>
        <v>0</v>
      </c>
      <c r="V7" s="4">
        <f>com_share_region_target*'LEAP Scenario'!V7</f>
        <v>0</v>
      </c>
      <c r="W7" s="5">
        <f>com_share_region_target*'LEAP Scenario'!W7</f>
        <v>0</v>
      </c>
      <c r="Y7" s="92"/>
    </row>
    <row r="8" spans="1:25" x14ac:dyDescent="0.25">
      <c r="A8" s="1" t="s">
        <v>6</v>
      </c>
      <c r="B8" s="4">
        <f>res_share_region_target*'LEAP Scenario'!B8</f>
        <v>3.9069767441860465E-3</v>
      </c>
      <c r="C8" s="4">
        <f>res_share_region_target*'LEAP Scenario'!C8</f>
        <v>1.6930232558139535E-2</v>
      </c>
      <c r="D8" s="4">
        <f>res_share_region_target*'LEAP Scenario'!D8</f>
        <v>6.1209302325581388E-2</v>
      </c>
      <c r="E8" s="5">
        <f>res_share_region_target*'LEAP Scenario'!E8</f>
        <v>0.14716279069767441</v>
      </c>
      <c r="G8" s="1" t="s">
        <v>6</v>
      </c>
      <c r="H8" s="4">
        <f>res_share_region_target*'LEAP Scenario'!H8</f>
        <v>2.083720930232558E-2</v>
      </c>
      <c r="I8" s="4">
        <f>res_share_region_target*'LEAP Scenario'!I8</f>
        <v>5.990697674418604E-2</v>
      </c>
      <c r="J8" s="4">
        <f>res_share_region_target*'LEAP Scenario'!J8</f>
        <v>0.11720930232558138</v>
      </c>
      <c r="K8" s="5">
        <f>res_share_region_target*'LEAP Scenario'!K8</f>
        <v>0.16409302325581393</v>
      </c>
      <c r="M8" s="1" t="s">
        <v>9</v>
      </c>
      <c r="N8" s="4">
        <f>com_share_region_target*'LEAP Scenario'!N8</f>
        <v>0</v>
      </c>
      <c r="O8" s="4">
        <f>com_share_region_target*'LEAP Scenario'!O8</f>
        <v>0</v>
      </c>
      <c r="P8" s="4">
        <f>com_share_region_target*'LEAP Scenario'!P8</f>
        <v>0</v>
      </c>
      <c r="Q8" s="5">
        <f>com_share_region_target*'LEAP Scenario'!Q8</f>
        <v>0</v>
      </c>
      <c r="R8" s="4"/>
      <c r="S8" s="1" t="s">
        <v>9</v>
      </c>
      <c r="T8" s="4">
        <f>com_share_region_target*'LEAP Scenario'!T8</f>
        <v>0</v>
      </c>
      <c r="U8" s="4">
        <f>com_share_region_target*'LEAP Scenario'!U8</f>
        <v>0</v>
      </c>
      <c r="V8" s="4">
        <f>com_share_region_target*'LEAP Scenario'!V8</f>
        <v>0</v>
      </c>
      <c r="W8" s="5">
        <f>com_share_region_target*'LEAP Scenario'!W8</f>
        <v>0</v>
      </c>
      <c r="Y8" s="23"/>
    </row>
    <row r="9" spans="1:25" x14ac:dyDescent="0.25">
      <c r="A9" s="1" t="s">
        <v>7</v>
      </c>
      <c r="B9" s="4">
        <f>res_share_region_target*'LEAP Scenario'!B9</f>
        <v>0.16799999999999998</v>
      </c>
      <c r="C9" s="4">
        <f>res_share_region_target*'LEAP Scenario'!C9</f>
        <v>0.21358139534883719</v>
      </c>
      <c r="D9" s="4">
        <f>res_share_region_target*'LEAP Scenario'!D9</f>
        <v>0.26176744186046508</v>
      </c>
      <c r="E9" s="5">
        <f>res_share_region_target*'LEAP Scenario'!E9</f>
        <v>6.6418604651162783E-2</v>
      </c>
      <c r="G9" s="1" t="s">
        <v>7</v>
      </c>
      <c r="H9" s="4">
        <f>res_share_region_target*'LEAP Scenario'!H9</f>
        <v>0.15627906976744185</v>
      </c>
      <c r="I9" s="4">
        <f>res_share_region_target*'LEAP Scenario'!I9</f>
        <v>0.18102325581395348</v>
      </c>
      <c r="J9" s="4">
        <f>res_share_region_target*'LEAP Scenario'!J9</f>
        <v>0.20967441860465116</v>
      </c>
      <c r="K9" s="5">
        <f>res_share_region_target*'LEAP Scenario'!K9</f>
        <v>0</v>
      </c>
      <c r="L9" s="21"/>
      <c r="M9" s="1" t="s">
        <v>16</v>
      </c>
      <c r="N9" s="4">
        <f>com_share_region_target*'LEAP Scenario'!N9</f>
        <v>0</v>
      </c>
      <c r="O9" s="4">
        <f>com_share_region_target*'LEAP Scenario'!O9</f>
        <v>0</v>
      </c>
      <c r="P9" s="4">
        <f>com_share_region_target*'LEAP Scenario'!P9</f>
        <v>0</v>
      </c>
      <c r="Q9" s="5">
        <f>com_share_region_target*'LEAP Scenario'!Q9</f>
        <v>0</v>
      </c>
      <c r="R9" s="2"/>
      <c r="S9" s="1" t="s">
        <v>16</v>
      </c>
      <c r="T9" s="4">
        <f>com_share_region_target*'LEAP Scenario'!T9</f>
        <v>0</v>
      </c>
      <c r="U9" s="4">
        <f>com_share_region_target*'LEAP Scenario'!U9</f>
        <v>0</v>
      </c>
      <c r="V9" s="4">
        <f>com_share_region_target*'LEAP Scenario'!V9</f>
        <v>0</v>
      </c>
      <c r="W9" s="5">
        <f>com_share_region_target*'LEAP Scenario'!W9</f>
        <v>0</v>
      </c>
      <c r="Y9" s="23"/>
    </row>
    <row r="10" spans="1:25" x14ac:dyDescent="0.25">
      <c r="A10" s="1" t="s">
        <v>8</v>
      </c>
      <c r="B10" s="4">
        <f>res_share_region_target*'LEAP Scenario'!B10</f>
        <v>0.94158139534883711</v>
      </c>
      <c r="C10" s="4">
        <f>res_share_region_target*'LEAP Scenario'!C10</f>
        <v>0.76837209302325582</v>
      </c>
      <c r="D10" s="4">
        <f>res_share_region_target*'LEAP Scenario'!D10</f>
        <v>0.61469767441860457</v>
      </c>
      <c r="E10" s="5">
        <f>res_share_region_target*'LEAP Scenario'!E10</f>
        <v>0.41153488372093022</v>
      </c>
      <c r="G10" s="1" t="s">
        <v>8</v>
      </c>
      <c r="H10" s="4">
        <f>res_share_region_target*'LEAP Scenario'!H10</f>
        <v>0.92074418604651154</v>
      </c>
      <c r="I10" s="4">
        <f>res_share_region_target*'LEAP Scenario'!I10</f>
        <v>0.72018604651162788</v>
      </c>
      <c r="J10" s="4">
        <f>res_share_region_target*'LEAP Scenario'!J10</f>
        <v>0.46102325581395348</v>
      </c>
      <c r="K10" s="5">
        <f>res_share_region_target*'LEAP Scenario'!K10</f>
        <v>0.16148837209302325</v>
      </c>
      <c r="L10" s="21"/>
      <c r="M10" s="1" t="s">
        <v>17</v>
      </c>
      <c r="N10" s="4">
        <f>com_share_region_target*'LEAP Scenario'!N10</f>
        <v>0</v>
      </c>
      <c r="O10" s="4">
        <f>com_share_region_target*'LEAP Scenario'!O10</f>
        <v>0</v>
      </c>
      <c r="P10" s="4">
        <f>com_share_region_target*'LEAP Scenario'!P10</f>
        <v>0</v>
      </c>
      <c r="Q10" s="5">
        <f>com_share_region_target*'LEAP Scenario'!Q10</f>
        <v>0</v>
      </c>
      <c r="R10" s="4"/>
      <c r="S10" s="1" t="s">
        <v>17</v>
      </c>
      <c r="T10" s="4">
        <f>com_share_region_target*'LEAP Scenario'!T10</f>
        <v>0</v>
      </c>
      <c r="U10" s="4">
        <f>com_share_region_target*'LEAP Scenario'!U10</f>
        <v>0</v>
      </c>
      <c r="V10" s="4">
        <f>com_share_region_target*'LEAP Scenario'!V10</f>
        <v>0</v>
      </c>
      <c r="W10" s="5">
        <f>com_share_region_target*'LEAP Scenario'!W10</f>
        <v>0</v>
      </c>
      <c r="Y10" s="23"/>
    </row>
    <row r="11" spans="1:25" x14ac:dyDescent="0.25">
      <c r="A11" s="1" t="s">
        <v>9</v>
      </c>
      <c r="B11" s="4">
        <f>res_share_region_target*'LEAP Scenario'!B11</f>
        <v>0</v>
      </c>
      <c r="C11" s="4">
        <f>res_share_region_target*'LEAP Scenario'!C11</f>
        <v>0</v>
      </c>
      <c r="D11" s="4">
        <f>res_share_region_target*'LEAP Scenario'!D11</f>
        <v>0</v>
      </c>
      <c r="E11" s="5">
        <f>res_share_region_target*'LEAP Scenario'!E11</f>
        <v>0</v>
      </c>
      <c r="G11" s="1" t="s">
        <v>9</v>
      </c>
      <c r="H11" s="4">
        <f>res_share_region_target*'LEAP Scenario'!H11</f>
        <v>0</v>
      </c>
      <c r="I11" s="4">
        <f>res_share_region_target*'LEAP Scenario'!I11</f>
        <v>0</v>
      </c>
      <c r="J11" s="4">
        <f>res_share_region_target*'LEAP Scenario'!J11</f>
        <v>0</v>
      </c>
      <c r="K11" s="5">
        <f>res_share_region_target*'LEAP Scenario'!K11</f>
        <v>0</v>
      </c>
      <c r="L11" s="21"/>
      <c r="M11" s="7" t="s">
        <v>12</v>
      </c>
      <c r="N11" s="8">
        <f>SUM(N4:N10)</f>
        <v>0</v>
      </c>
      <c r="O11" s="8">
        <f>SUM(O4:O10)</f>
        <v>0</v>
      </c>
      <c r="P11" s="8">
        <f>SUM(P4:P10)</f>
        <v>0</v>
      </c>
      <c r="Q11" s="9">
        <f>SUM(Q4:Q10)</f>
        <v>0</v>
      </c>
      <c r="R11" s="4"/>
      <c r="S11" s="7" t="s">
        <v>12</v>
      </c>
      <c r="T11" s="8">
        <f>SUM(T4:T10)</f>
        <v>0</v>
      </c>
      <c r="U11" s="8">
        <f>SUM(U4:U10)</f>
        <v>0</v>
      </c>
      <c r="V11" s="8">
        <f>SUM(V4:V10)</f>
        <v>0</v>
      </c>
      <c r="W11" s="9">
        <f>SUM(W4:W10)</f>
        <v>0</v>
      </c>
    </row>
    <row r="12" spans="1:25" x14ac:dyDescent="0.25">
      <c r="A12" s="1" t="s">
        <v>10</v>
      </c>
      <c r="B12" s="4">
        <f>res_share_region_target*'LEAP Scenario'!B12</f>
        <v>2.2933953488372092</v>
      </c>
      <c r="C12" s="4">
        <f>res_share_region_target*'LEAP Scenario'!C12</f>
        <v>1.747720930232558</v>
      </c>
      <c r="D12" s="4">
        <f>res_share_region_target*'LEAP Scenario'!D12</f>
        <v>1.2241860465116279</v>
      </c>
      <c r="E12" s="5">
        <f>res_share_region_target*'LEAP Scenario'!E12</f>
        <v>0.53525581395348831</v>
      </c>
      <c r="G12" s="1" t="s">
        <v>10</v>
      </c>
      <c r="H12" s="4">
        <f>res_share_region_target*'LEAP Scenario'!H12</f>
        <v>2.2061395348837207</v>
      </c>
      <c r="I12" s="4">
        <f>res_share_region_target*'LEAP Scenario'!I12</f>
        <v>1.4820465116279069</v>
      </c>
      <c r="J12" s="4">
        <f>res_share_region_target*'LEAP Scenario'!J12</f>
        <v>0.78269767441860461</v>
      </c>
      <c r="K12" s="5">
        <f>res_share_region_target*'LEAP Scenario'!K12</f>
        <v>0</v>
      </c>
      <c r="L12" s="21"/>
    </row>
    <row r="13" spans="1:25" x14ac:dyDescent="0.25">
      <c r="A13" s="1" t="s">
        <v>11</v>
      </c>
      <c r="B13" s="4">
        <f>res_share_region_target*'LEAP Scenario'!B13</f>
        <v>0.47404651162790695</v>
      </c>
      <c r="C13" s="4">
        <f>res_share_region_target*'LEAP Scenario'!C13</f>
        <v>0.42065116279069764</v>
      </c>
      <c r="D13" s="4">
        <f>res_share_region_target*'LEAP Scenario'!D13</f>
        <v>0.37767441860465112</v>
      </c>
      <c r="E13" s="5">
        <f>res_share_region_target*'LEAP Scenario'!E13</f>
        <v>0.33730232558139533</v>
      </c>
      <c r="G13" s="1" t="s">
        <v>11</v>
      </c>
      <c r="H13" s="4">
        <f>res_share_region_target*'LEAP Scenario'!H13</f>
        <v>0.41153488372093022</v>
      </c>
      <c r="I13" s="4">
        <f>res_share_region_target*'LEAP Scenario'!I13</f>
        <v>0.45972093023255811</v>
      </c>
      <c r="J13" s="4">
        <f>res_share_region_target*'LEAP Scenario'!J13</f>
        <v>0.41283720930232554</v>
      </c>
      <c r="K13" s="5">
        <f>res_share_region_target*'LEAP Scenario'!K13</f>
        <v>0.38548837209302322</v>
      </c>
      <c r="L13" s="21"/>
      <c r="N13" s="21"/>
      <c r="O13" s="21"/>
      <c r="P13" s="21"/>
      <c r="Q13" s="21"/>
      <c r="T13" s="21"/>
      <c r="U13" s="21"/>
      <c r="V13" s="21"/>
      <c r="W13" s="21"/>
    </row>
    <row r="14" spans="1:25" x14ac:dyDescent="0.25">
      <c r="A14" s="7" t="s">
        <v>12</v>
      </c>
      <c r="B14" s="8">
        <f>SUM(B4:B13)</f>
        <v>6.6249302325581398</v>
      </c>
      <c r="C14" s="8">
        <f>SUM(C4:C13)</f>
        <v>5.5544186046511621</v>
      </c>
      <c r="D14" s="8">
        <f>SUM(D4:D13)</f>
        <v>4.5893953488372086</v>
      </c>
      <c r="E14" s="9">
        <f>SUM(E4:E13)</f>
        <v>3.132093023255814</v>
      </c>
      <c r="G14" s="7" t="s">
        <v>12</v>
      </c>
      <c r="H14" s="8">
        <f>SUM(H4:H13)</f>
        <v>6.4543255813953477</v>
      </c>
      <c r="I14" s="8">
        <f>SUM(I4:I13)</f>
        <v>5.2692093023255815</v>
      </c>
      <c r="J14" s="8">
        <f>SUM(J4:J13)</f>
        <v>3.985116279069767</v>
      </c>
      <c r="K14" s="9">
        <f>SUM(K4:K13)</f>
        <v>2.2452093023255815</v>
      </c>
    </row>
    <row r="15" spans="1:25" x14ac:dyDescent="0.25">
      <c r="L15" s="22"/>
    </row>
    <row r="16" spans="1:25" x14ac:dyDescent="0.25">
      <c r="B16" s="21"/>
      <c r="C16" s="21"/>
      <c r="D16" s="21"/>
      <c r="E16" s="21"/>
      <c r="H16" s="21"/>
      <c r="I16" s="21"/>
      <c r="J16" s="21"/>
      <c r="K16" s="21"/>
      <c r="L16" s="22"/>
      <c r="M16" s="21"/>
      <c r="N16" s="21"/>
      <c r="O16" s="21"/>
      <c r="P16" s="21"/>
    </row>
    <row r="17" spans="1:16" x14ac:dyDescent="0.25">
      <c r="B17" s="21"/>
      <c r="C17" s="21"/>
      <c r="D17" s="21"/>
      <c r="E17" s="21"/>
      <c r="H17" s="21"/>
      <c r="I17" s="21"/>
      <c r="J17" s="21"/>
      <c r="K17" s="30"/>
      <c r="L17" s="22"/>
      <c r="M17" s="21"/>
      <c r="N17" s="21"/>
      <c r="O17" s="21"/>
      <c r="P17" s="21"/>
    </row>
    <row r="18" spans="1:16" x14ac:dyDescent="0.25">
      <c r="B18" s="21"/>
      <c r="L18" s="22"/>
    </row>
    <row r="19" spans="1:16" x14ac:dyDescent="0.25">
      <c r="B19" s="21"/>
      <c r="C19" s="21"/>
      <c r="D19" s="21"/>
      <c r="E19" s="21"/>
      <c r="H19" s="21"/>
      <c r="I19" s="21"/>
      <c r="J19" s="21"/>
      <c r="K19" s="21"/>
      <c r="L19" s="22"/>
    </row>
    <row r="20" spans="1:16" x14ac:dyDescent="0.25">
      <c r="B20" s="21"/>
      <c r="C20" s="21"/>
      <c r="D20" s="21"/>
      <c r="E20" s="21"/>
      <c r="H20" s="23"/>
      <c r="I20" s="23"/>
      <c r="J20" s="23"/>
      <c r="K20" s="23"/>
      <c r="L20" s="22"/>
      <c r="M20" s="21"/>
      <c r="N20" s="21"/>
      <c r="O20" s="21"/>
      <c r="P20" s="21"/>
    </row>
    <row r="21" spans="1:16" x14ac:dyDescent="0.25">
      <c r="L21" s="22"/>
    </row>
    <row r="22" spans="1:16" ht="33.75" customHeight="1" x14ac:dyDescent="0.25">
      <c r="A22" s="231" t="s">
        <v>472</v>
      </c>
      <c r="B22" s="232"/>
      <c r="C22" s="232"/>
      <c r="D22" s="232"/>
      <c r="E22" s="233"/>
      <c r="G22" s="231" t="s">
        <v>473</v>
      </c>
      <c r="H22" s="232"/>
      <c r="I22" s="232"/>
      <c r="J22" s="232"/>
      <c r="K22" s="233"/>
      <c r="L22" s="22"/>
    </row>
    <row r="23" spans="1:16" x14ac:dyDescent="0.25">
      <c r="A23" s="14" t="s">
        <v>0</v>
      </c>
      <c r="B23" s="15">
        <v>2015</v>
      </c>
      <c r="C23" s="15">
        <v>2025</v>
      </c>
      <c r="D23" s="15">
        <v>2035</v>
      </c>
      <c r="E23" s="16">
        <v>2050</v>
      </c>
      <c r="G23" s="14" t="s">
        <v>0</v>
      </c>
      <c r="H23" s="15">
        <v>2015</v>
      </c>
      <c r="I23" s="15">
        <v>2025</v>
      </c>
      <c r="J23" s="15">
        <v>2035</v>
      </c>
      <c r="K23" s="16">
        <v>2050</v>
      </c>
    </row>
    <row r="24" spans="1:16" x14ac:dyDescent="0.25">
      <c r="A24" s="1" t="s">
        <v>21</v>
      </c>
      <c r="B24" s="4">
        <f>res_share_region_target*'LEAP Scenario'!B24</f>
        <v>3.7923720930232556</v>
      </c>
      <c r="C24" s="4">
        <f>res_share_region_target*'LEAP Scenario'!C24</f>
        <v>3.0865116279069764</v>
      </c>
      <c r="D24" s="4">
        <f>res_share_region_target*'LEAP Scenario'!D24</f>
        <v>2.6306976744186046</v>
      </c>
      <c r="E24" s="5">
        <f>res_share_region_target*'LEAP Scenario'!E24</f>
        <v>2.2087441860465113</v>
      </c>
      <c r="G24" s="1" t="s">
        <v>21</v>
      </c>
      <c r="H24" s="4">
        <f>res_share_region_target*'LEAP Scenario'!H24</f>
        <v>3.8066976744186043</v>
      </c>
      <c r="I24" s="4">
        <f>res_share_region_target*'LEAP Scenario'!I24</f>
        <v>2.7270697674418605</v>
      </c>
      <c r="J24" s="4">
        <f>res_share_region_target*'LEAP Scenario'!J24</f>
        <v>1.5185116279069766</v>
      </c>
      <c r="K24" s="5">
        <f>res_share_region_target*'LEAP Scenario'!K24</f>
        <v>0.11851162790697674</v>
      </c>
    </row>
    <row r="25" spans="1:16" x14ac:dyDescent="0.25">
      <c r="A25" s="1" t="s">
        <v>22</v>
      </c>
      <c r="B25" s="4">
        <f>res_share_region_target*'LEAP Scenario'!B25</f>
        <v>0.51441860465116274</v>
      </c>
      <c r="C25" s="4">
        <f>res_share_region_target*'LEAP Scenario'!C25</f>
        <v>0.41544186046511627</v>
      </c>
      <c r="D25" s="4">
        <f>res_share_region_target*'LEAP Scenario'!D25</f>
        <v>0.35162790697674418</v>
      </c>
      <c r="E25" s="5">
        <f>res_share_region_target*'LEAP Scenario'!E25</f>
        <v>0.29172093023255813</v>
      </c>
      <c r="G25" s="1" t="s">
        <v>22</v>
      </c>
      <c r="H25" s="4">
        <f>res_share_region_target*'LEAP Scenario'!H25</f>
        <v>0.50790697674418606</v>
      </c>
      <c r="I25" s="4">
        <f>res_share_region_target*'LEAP Scenario'!I25</f>
        <v>0.3386046511627907</v>
      </c>
      <c r="J25" s="4">
        <f>res_share_region_target*'LEAP Scenario'!J25</f>
        <v>0.18362790697674417</v>
      </c>
      <c r="K25" s="5">
        <f>res_share_region_target*'LEAP Scenario'!K25</f>
        <v>2.083720930232558E-2</v>
      </c>
    </row>
    <row r="26" spans="1:16" x14ac:dyDescent="0.25">
      <c r="A26" s="1" t="s">
        <v>23</v>
      </c>
      <c r="B26" s="4">
        <f>res_share_region_target*'LEAP Scenario'!B26</f>
        <v>3.9069767441860465E-3</v>
      </c>
      <c r="C26" s="4">
        <f>res_share_region_target*'LEAP Scenario'!C26</f>
        <v>1.1720930232558139E-2</v>
      </c>
      <c r="D26" s="4">
        <f>res_share_region_target*'LEAP Scenario'!D26</f>
        <v>1.8232558139534883E-2</v>
      </c>
      <c r="E26" s="5">
        <f>res_share_region_target*'LEAP Scenario'!E26</f>
        <v>2.7348837209302323E-2</v>
      </c>
      <c r="G26" s="1" t="s">
        <v>23</v>
      </c>
      <c r="H26" s="4">
        <f>res_share_region_target*'LEAP Scenario'!H26</f>
        <v>3.9069767441860465E-3</v>
      </c>
      <c r="I26" s="4">
        <f>res_share_region_target*'LEAP Scenario'!I26</f>
        <v>0.10679069767441859</v>
      </c>
      <c r="J26" s="4">
        <f>res_share_region_target*'LEAP Scenario'!J26</f>
        <v>0.30995348837209302</v>
      </c>
      <c r="K26" s="5">
        <f>res_share_region_target*'LEAP Scenario'!K26</f>
        <v>0.60037209302325578</v>
      </c>
    </row>
    <row r="27" spans="1:16" x14ac:dyDescent="0.25">
      <c r="A27" s="1" t="s">
        <v>20</v>
      </c>
      <c r="B27" s="4">
        <f>res_share_region_target*'LEAP Scenario'!B27</f>
        <v>0.13804651162790696</v>
      </c>
      <c r="C27" s="4">
        <f>res_share_region_target*'LEAP Scenario'!C27</f>
        <v>0.13023255813953488</v>
      </c>
      <c r="D27" s="4">
        <f>res_share_region_target*'LEAP Scenario'!D27</f>
        <v>0.12762790697674417</v>
      </c>
      <c r="E27" s="5">
        <f>res_share_region_target*'LEAP Scenario'!E27</f>
        <v>0.12632558139534883</v>
      </c>
      <c r="G27" s="1" t="s">
        <v>20</v>
      </c>
      <c r="H27" s="4">
        <f>res_share_region_target*'LEAP Scenario'!H27</f>
        <v>0.12762790697674417</v>
      </c>
      <c r="I27" s="4">
        <f>res_share_region_target*'LEAP Scenario'!I27</f>
        <v>7.9441860465116268E-2</v>
      </c>
      <c r="J27" s="4">
        <f>res_share_region_target*'LEAP Scenario'!J27</f>
        <v>4.2976744186046509E-2</v>
      </c>
      <c r="K27" s="5">
        <f>res_share_region_target*'LEAP Scenario'!K27</f>
        <v>1.3023255813953488E-3</v>
      </c>
    </row>
    <row r="28" spans="1:16" x14ac:dyDescent="0.25">
      <c r="A28" s="1" t="s">
        <v>18</v>
      </c>
      <c r="B28" s="4">
        <f>res_share_region_target*'LEAP Scenario'!B28</f>
        <v>1.3023255813953488E-3</v>
      </c>
      <c r="C28" s="4">
        <f>res_share_region_target*'LEAP Scenario'!C28</f>
        <v>1.3023255813953488E-3</v>
      </c>
      <c r="D28" s="4">
        <f>res_share_region_target*'LEAP Scenario'!D28</f>
        <v>1.3023255813953488E-3</v>
      </c>
      <c r="E28" s="5">
        <f>res_share_region_target*'LEAP Scenario'!E28</f>
        <v>0</v>
      </c>
      <c r="G28" s="1" t="s">
        <v>18</v>
      </c>
      <c r="H28" s="4">
        <f>res_share_region_target*'LEAP Scenario'!H28</f>
        <v>1.041860465116279E-2</v>
      </c>
      <c r="I28" s="4">
        <f>res_share_region_target*'LEAP Scenario'!I28</f>
        <v>4.9488372093023252E-2</v>
      </c>
      <c r="J28" s="4">
        <f>res_share_region_target*'LEAP Scenario'!J28</f>
        <v>7.9441860465116268E-2</v>
      </c>
      <c r="K28" s="5">
        <f>res_share_region_target*'LEAP Scenario'!K28</f>
        <v>0.11330232558139534</v>
      </c>
    </row>
    <row r="29" spans="1:16" x14ac:dyDescent="0.25">
      <c r="A29" s="6" t="s">
        <v>24</v>
      </c>
      <c r="B29" s="18">
        <f>res_share_region_target*'LEAP Scenario'!B29</f>
        <v>0</v>
      </c>
      <c r="C29" s="18">
        <f>res_share_region_target*'LEAP Scenario'!C29</f>
        <v>0</v>
      </c>
      <c r="D29" s="18">
        <f>res_share_region_target*'LEAP Scenario'!D29</f>
        <v>0</v>
      </c>
      <c r="E29" s="19">
        <f>res_share_region_target*'LEAP Scenario'!E29</f>
        <v>0</v>
      </c>
      <c r="G29" s="1" t="s">
        <v>24</v>
      </c>
      <c r="H29" s="4">
        <f>res_share_region_target*'LEAP Scenario'!H29</f>
        <v>0</v>
      </c>
      <c r="I29" s="4">
        <f>res_share_region_target*'LEAP Scenario'!I29</f>
        <v>0</v>
      </c>
      <c r="J29" s="4">
        <f>res_share_region_target*'LEAP Scenario'!J29</f>
        <v>0</v>
      </c>
      <c r="K29" s="5">
        <f>res_share_region_target*'LEAP Scenario'!K29</f>
        <v>0</v>
      </c>
    </row>
    <row r="30" spans="1:16" x14ac:dyDescent="0.25">
      <c r="A30" s="7" t="s">
        <v>12</v>
      </c>
      <c r="B30" s="8">
        <f>SUM(B24:B29)</f>
        <v>4.4500465116279067</v>
      </c>
      <c r="C30" s="8">
        <f>SUM(C24:C29)</f>
        <v>3.6452093023255814</v>
      </c>
      <c r="D30" s="8">
        <f>SUM(D24:D29)</f>
        <v>3.1294883720930233</v>
      </c>
      <c r="E30" s="9">
        <f>SUM(E24:E29)</f>
        <v>2.6541395348837207</v>
      </c>
      <c r="G30" s="7" t="s">
        <v>12</v>
      </c>
      <c r="H30" s="8">
        <f>SUM(H24:H29)</f>
        <v>4.4565581395348826</v>
      </c>
      <c r="I30" s="8">
        <f>SUM(I24:I29)</f>
        <v>3.3013953488372088</v>
      </c>
      <c r="J30" s="8">
        <f>SUM(J24:J29)</f>
        <v>2.1345116279069765</v>
      </c>
      <c r="K30" s="9">
        <f>SUM(K24:K29)</f>
        <v>0.85432558139534875</v>
      </c>
    </row>
    <row r="32" spans="1:16" ht="30" hidden="1" customHeight="1" x14ac:dyDescent="0.25"/>
    <row r="33" spans="1:11" ht="15" hidden="1" customHeight="1" x14ac:dyDescent="0.25">
      <c r="A33" t="s">
        <v>37</v>
      </c>
      <c r="G33" t="s">
        <v>38</v>
      </c>
    </row>
    <row r="34" spans="1:11" ht="15" hidden="1" customHeight="1" x14ac:dyDescent="0.25">
      <c r="A34" t="s">
        <v>0</v>
      </c>
      <c r="B34">
        <v>2015</v>
      </c>
      <c r="C34">
        <v>2025</v>
      </c>
      <c r="D34">
        <v>2035</v>
      </c>
      <c r="E34">
        <v>2050</v>
      </c>
      <c r="G34" t="s">
        <v>0</v>
      </c>
      <c r="H34">
        <v>2015</v>
      </c>
      <c r="I34">
        <v>2025</v>
      </c>
      <c r="J34">
        <v>2035</v>
      </c>
      <c r="K34">
        <v>2050</v>
      </c>
    </row>
    <row r="35" spans="1:11" ht="15" hidden="1" customHeight="1" x14ac:dyDescent="0.25">
      <c r="A35" t="s">
        <v>41</v>
      </c>
      <c r="B35">
        <v>0.3</v>
      </c>
      <c r="C35">
        <v>0.4</v>
      </c>
      <c r="D35">
        <v>0.5</v>
      </c>
      <c r="E35">
        <v>0.6</v>
      </c>
      <c r="G35" t="s">
        <v>41</v>
      </c>
      <c r="H35">
        <v>0.3</v>
      </c>
      <c r="I35">
        <v>0.4</v>
      </c>
      <c r="J35">
        <v>0.6</v>
      </c>
      <c r="K35">
        <v>0.7</v>
      </c>
    </row>
    <row r="36" spans="1:11" ht="15" hidden="1" customHeight="1" x14ac:dyDescent="0.25">
      <c r="A36" t="s">
        <v>26</v>
      </c>
      <c r="B36">
        <v>0.9</v>
      </c>
      <c r="C36">
        <v>1</v>
      </c>
      <c r="D36">
        <v>1.2</v>
      </c>
      <c r="E36">
        <v>1.5</v>
      </c>
      <c r="G36" t="s">
        <v>26</v>
      </c>
      <c r="H36">
        <v>0.9</v>
      </c>
      <c r="I36">
        <v>0.9</v>
      </c>
      <c r="J36">
        <v>1</v>
      </c>
      <c r="K36">
        <v>1.1000000000000001</v>
      </c>
    </row>
    <row r="37" spans="1:11" ht="15" hidden="1" customHeight="1" x14ac:dyDescent="0.25">
      <c r="A37" t="s">
        <v>39</v>
      </c>
      <c r="B37">
        <v>0.4</v>
      </c>
      <c r="C37">
        <v>0.4</v>
      </c>
      <c r="D37">
        <v>0.4</v>
      </c>
      <c r="E37">
        <v>0.3</v>
      </c>
      <c r="G37" t="s">
        <v>39</v>
      </c>
      <c r="H37">
        <v>0.5</v>
      </c>
      <c r="I37">
        <v>0.5</v>
      </c>
      <c r="J37">
        <v>0.4</v>
      </c>
      <c r="K37">
        <v>0.4</v>
      </c>
    </row>
    <row r="38" spans="1:11" ht="15" hidden="1" customHeight="1" x14ac:dyDescent="0.25">
      <c r="A38" t="s">
        <v>27</v>
      </c>
      <c r="B38">
        <v>0.1</v>
      </c>
      <c r="C38">
        <v>0.1</v>
      </c>
      <c r="D38">
        <v>0.1</v>
      </c>
      <c r="E38">
        <v>0.1</v>
      </c>
      <c r="G38" t="s">
        <v>27</v>
      </c>
      <c r="H38">
        <v>0.1</v>
      </c>
      <c r="I38">
        <v>0.1</v>
      </c>
      <c r="J38">
        <v>0.1</v>
      </c>
      <c r="K38">
        <v>0.1</v>
      </c>
    </row>
    <row r="39" spans="1:11" ht="15" hidden="1" customHeight="1" x14ac:dyDescent="0.25">
      <c r="A39" t="s">
        <v>28</v>
      </c>
      <c r="B39">
        <v>1.8</v>
      </c>
      <c r="C39">
        <v>1.6</v>
      </c>
      <c r="D39">
        <v>1.4</v>
      </c>
      <c r="E39">
        <v>1.3</v>
      </c>
      <c r="G39" t="s">
        <v>28</v>
      </c>
      <c r="H39">
        <v>1.7</v>
      </c>
      <c r="I39">
        <v>1.3</v>
      </c>
      <c r="J39">
        <v>0.9</v>
      </c>
      <c r="K39">
        <v>0.6</v>
      </c>
    </row>
    <row r="40" spans="1:11" ht="15" hidden="1" customHeight="1" x14ac:dyDescent="0.25">
      <c r="A40" t="s">
        <v>29</v>
      </c>
      <c r="B40">
        <v>2.5</v>
      </c>
      <c r="C40">
        <v>3.5</v>
      </c>
      <c r="D40">
        <v>4.5999999999999996</v>
      </c>
      <c r="E40">
        <v>6.1</v>
      </c>
      <c r="G40" t="s">
        <v>29</v>
      </c>
      <c r="H40">
        <v>2.1</v>
      </c>
      <c r="I40">
        <v>2.2000000000000002</v>
      </c>
      <c r="J40">
        <v>2.2000000000000002</v>
      </c>
      <c r="K40">
        <v>2.2000000000000002</v>
      </c>
    </row>
    <row r="41" spans="1:11" ht="15" hidden="1" customHeight="1" x14ac:dyDescent="0.25">
      <c r="A41" t="s">
        <v>40</v>
      </c>
      <c r="B41">
        <v>0.2</v>
      </c>
      <c r="C41">
        <v>0.2</v>
      </c>
      <c r="D41">
        <v>0.2</v>
      </c>
      <c r="E41">
        <v>0.2</v>
      </c>
      <c r="G41" t="s">
        <v>40</v>
      </c>
      <c r="H41">
        <v>0.2</v>
      </c>
      <c r="I41">
        <v>0.2</v>
      </c>
      <c r="J41">
        <v>0.2</v>
      </c>
      <c r="K41">
        <v>0.2</v>
      </c>
    </row>
    <row r="42" spans="1:11" ht="15" hidden="1" customHeight="1" x14ac:dyDescent="0.25">
      <c r="A42" t="s">
        <v>12</v>
      </c>
      <c r="B42">
        <f>SUM(B35:B41)</f>
        <v>6.2</v>
      </c>
      <c r="C42">
        <f>SUM(C35:C41)</f>
        <v>7.2</v>
      </c>
      <c r="D42">
        <f>SUM(D35:D41)</f>
        <v>8.3999999999999986</v>
      </c>
      <c r="E42">
        <f>SUM(E35:E41)</f>
        <v>10.099999999999998</v>
      </c>
      <c r="G42" t="s">
        <v>12</v>
      </c>
      <c r="H42">
        <f>SUM(H35:H41)</f>
        <v>5.8</v>
      </c>
      <c r="I42">
        <f>SUM(I35:I41)</f>
        <v>5.6000000000000005</v>
      </c>
      <c r="J42">
        <f>SUM(J35:J41)</f>
        <v>5.4</v>
      </c>
      <c r="K42">
        <f>SUM(K35:K41)</f>
        <v>5.3000000000000007</v>
      </c>
    </row>
    <row r="43" spans="1:11" ht="15" hidden="1" customHeight="1" x14ac:dyDescent="0.25"/>
    <row r="44" spans="1:11" ht="15" hidden="1" customHeight="1" x14ac:dyDescent="0.25"/>
    <row r="45" spans="1:11" ht="16.5" hidden="1" customHeight="1" x14ac:dyDescent="0.25"/>
    <row r="46" spans="1:11" ht="0.75" customHeight="1" x14ac:dyDescent="0.25"/>
    <row r="47" spans="1:11" ht="33.75" customHeight="1" x14ac:dyDescent="0.25"/>
    <row r="48" spans="1:11" ht="58.5" customHeight="1" x14ac:dyDescent="0.25">
      <c r="A48" s="234" t="s">
        <v>184</v>
      </c>
      <c r="B48" s="17">
        <v>2015</v>
      </c>
      <c r="C48" s="17">
        <v>2025</v>
      </c>
      <c r="D48" s="17">
        <v>2035</v>
      </c>
      <c r="E48" s="17">
        <v>2050</v>
      </c>
    </row>
    <row r="49" spans="1:5" ht="89.25" customHeight="1" x14ac:dyDescent="0.25">
      <c r="A49" s="234"/>
      <c r="B49" s="20">
        <f>res_share_region_target*'LEAP Scenario'!B49</f>
        <v>1.5627906976744186E-2</v>
      </c>
      <c r="C49" s="20">
        <f>res_share_region_target*'LEAP Scenario'!C49</f>
        <v>7.2930232558139532E-2</v>
      </c>
      <c r="D49" s="20">
        <f>res_share_region_target*'LEAP Scenario'!D49</f>
        <v>0.11460465116279069</v>
      </c>
      <c r="E49" s="20">
        <f>res_share_region_target*'LEAP Scenario'!E49</f>
        <v>0.16799999999999998</v>
      </c>
    </row>
  </sheetData>
  <mergeCells count="7">
    <mergeCell ref="A48:A49"/>
    <mergeCell ref="A2:E2"/>
    <mergeCell ref="G2:K2"/>
    <mergeCell ref="M2:Q2"/>
    <mergeCell ref="S2:W2"/>
    <mergeCell ref="A22:E22"/>
    <mergeCell ref="G22:K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T47"/>
  <sheetViews>
    <sheetView zoomScale="70" zoomScaleNormal="70" workbookViewId="0">
      <selection activeCell="F16" sqref="F16"/>
    </sheetView>
  </sheetViews>
  <sheetFormatPr defaultRowHeight="15" x14ac:dyDescent="0.25"/>
  <cols>
    <col min="1" max="1" width="2.85546875" customWidth="1"/>
    <col min="2" max="2" width="23.42578125" customWidth="1"/>
    <col min="3" max="6" width="15" customWidth="1"/>
    <col min="8" max="8" width="19.28515625" customWidth="1"/>
    <col min="9" max="12" width="15.42578125" customWidth="1"/>
    <col min="14" max="14" width="19.28515625" customWidth="1"/>
    <col min="15" max="18" width="13.85546875" customWidth="1"/>
  </cols>
  <sheetData>
    <row r="4" spans="2:20" ht="32.25" customHeight="1" x14ac:dyDescent="0.25">
      <c r="B4" s="231" t="s">
        <v>25</v>
      </c>
      <c r="C4" s="232"/>
      <c r="D4" s="232"/>
      <c r="E4" s="232"/>
      <c r="F4" s="233"/>
      <c r="H4" s="231" t="s">
        <v>30</v>
      </c>
      <c r="I4" s="232"/>
      <c r="J4" s="232"/>
      <c r="K4" s="232"/>
      <c r="L4" s="233"/>
      <c r="N4" s="231" t="s">
        <v>30</v>
      </c>
      <c r="O4" s="232"/>
      <c r="P4" s="232"/>
      <c r="Q4" s="232"/>
      <c r="R4" s="233"/>
    </row>
    <row r="5" spans="2:20" x14ac:dyDescent="0.25">
      <c r="B5" s="11" t="s">
        <v>0</v>
      </c>
      <c r="C5" s="12">
        <v>2015</v>
      </c>
      <c r="D5" s="12">
        <v>2025</v>
      </c>
      <c r="E5" s="12">
        <v>2035</v>
      </c>
      <c r="F5" s="13">
        <v>2050</v>
      </c>
      <c r="H5" s="11" t="s">
        <v>0</v>
      </c>
      <c r="I5" s="12">
        <v>2015</v>
      </c>
      <c r="J5" s="12">
        <v>2025</v>
      </c>
      <c r="K5" s="12">
        <v>2035</v>
      </c>
      <c r="L5" s="13">
        <v>2050</v>
      </c>
      <c r="N5" s="11" t="s">
        <v>0</v>
      </c>
      <c r="O5" s="12">
        <v>2015</v>
      </c>
      <c r="P5" s="12">
        <v>2025</v>
      </c>
      <c r="Q5" s="12">
        <v>2035</v>
      </c>
      <c r="R5" s="13">
        <v>2050</v>
      </c>
    </row>
    <row r="6" spans="2:20" x14ac:dyDescent="0.25">
      <c r="B6" s="1" t="s">
        <v>1</v>
      </c>
      <c r="C6" s="4">
        <v>0</v>
      </c>
      <c r="D6" s="4">
        <v>0</v>
      </c>
      <c r="E6" s="4">
        <v>0</v>
      </c>
      <c r="F6" s="5">
        <v>0</v>
      </c>
      <c r="H6" s="1" t="s">
        <v>1</v>
      </c>
      <c r="I6" s="4">
        <v>2.1136075535077383</v>
      </c>
      <c r="J6" s="4">
        <v>12.830841148352858</v>
      </c>
      <c r="K6" s="4">
        <v>24.318919850947861</v>
      </c>
      <c r="L6" s="5">
        <v>45.206335673847867</v>
      </c>
      <c r="M6" s="23"/>
      <c r="N6" s="1" t="s">
        <v>1</v>
      </c>
      <c r="O6" s="84">
        <f>I6-0.5-0.45+5</f>
        <v>6.1636075535077381</v>
      </c>
      <c r="P6" s="84">
        <f>J6-0.5-0.45+5</f>
        <v>16.880841148352857</v>
      </c>
      <c r="Q6" s="84">
        <f>K6-0.5-0.45+5</f>
        <v>28.368919850947862</v>
      </c>
      <c r="R6" s="85">
        <f>L6-0.5-0.45+5</f>
        <v>49.256335673847865</v>
      </c>
      <c r="T6" t="s">
        <v>476</v>
      </c>
    </row>
    <row r="7" spans="2:20" x14ac:dyDescent="0.25">
      <c r="B7" s="1" t="s">
        <v>3</v>
      </c>
      <c r="C7" s="4">
        <v>174.50938600608598</v>
      </c>
      <c r="D7" s="4">
        <v>161.55421500164442</v>
      </c>
      <c r="E7" s="4">
        <v>151.53322860089597</v>
      </c>
      <c r="F7" s="5">
        <v>139.49809853151075</v>
      </c>
      <c r="H7" s="1" t="s">
        <v>3</v>
      </c>
      <c r="I7" s="4">
        <v>175.05643737287622</v>
      </c>
      <c r="J7" s="4">
        <v>165.25924471308741</v>
      </c>
      <c r="K7" s="4">
        <v>155.36258816842764</v>
      </c>
      <c r="L7" s="5">
        <v>150.38939392488001</v>
      </c>
      <c r="M7" s="23"/>
      <c r="N7" s="1" t="s">
        <v>3</v>
      </c>
      <c r="O7" s="84">
        <f>I7-5</f>
        <v>170.05643737287622</v>
      </c>
      <c r="P7" s="84">
        <f>J7-5</f>
        <v>160.25924471308741</v>
      </c>
      <c r="Q7" s="84">
        <f>K7-5</f>
        <v>150.36258816842764</v>
      </c>
      <c r="R7" s="85">
        <f>L7-5</f>
        <v>145.38939392488001</v>
      </c>
      <c r="T7" t="s">
        <v>477</v>
      </c>
    </row>
    <row r="8" spans="2:20" x14ac:dyDescent="0.25">
      <c r="B8" s="1" t="s">
        <v>4</v>
      </c>
      <c r="C8" s="4">
        <v>29.665103662761553</v>
      </c>
      <c r="D8" s="4">
        <v>24.020528196335004</v>
      </c>
      <c r="E8" s="4">
        <v>16.063417406658811</v>
      </c>
      <c r="F8" s="5">
        <v>6.2164928044345249</v>
      </c>
      <c r="H8" s="1" t="s">
        <v>4</v>
      </c>
      <c r="I8" s="4">
        <v>29.93862934615667</v>
      </c>
      <c r="J8" s="4">
        <v>24.965435102609053</v>
      </c>
      <c r="K8" s="4">
        <v>14.24820150776393</v>
      </c>
      <c r="L8" s="5">
        <v>4.3266789918864292</v>
      </c>
      <c r="M8" s="23"/>
      <c r="N8" s="1" t="s">
        <v>4</v>
      </c>
      <c r="O8" s="4">
        <f>I8</f>
        <v>29.93862934615667</v>
      </c>
      <c r="P8" s="4">
        <f>J8</f>
        <v>24.965435102609053</v>
      </c>
      <c r="Q8" s="4">
        <f>K8</f>
        <v>14.24820150776393</v>
      </c>
      <c r="R8" s="5">
        <f>L8</f>
        <v>4.3266789918864292</v>
      </c>
    </row>
    <row r="9" spans="2:20" x14ac:dyDescent="0.25">
      <c r="B9" s="1" t="s">
        <v>5</v>
      </c>
      <c r="C9" s="4">
        <v>2.7601228051689288</v>
      </c>
      <c r="D9" s="4">
        <v>15.740159780828217</v>
      </c>
      <c r="E9" s="4">
        <v>30.435948770511434</v>
      </c>
      <c r="F9" s="5">
        <v>41.998625386759649</v>
      </c>
      <c r="H9" s="1" t="s">
        <v>5</v>
      </c>
      <c r="I9" s="4">
        <v>4.7494005025879771</v>
      </c>
      <c r="J9" s="4">
        <v>27.054176684899051</v>
      </c>
      <c r="K9" s="4">
        <v>54.207817254669052</v>
      </c>
      <c r="L9" s="5">
        <v>75.319026818528698</v>
      </c>
      <c r="M9" s="23"/>
      <c r="N9" s="1" t="s">
        <v>5</v>
      </c>
      <c r="O9" s="84">
        <f>I9</f>
        <v>4.7494005025879771</v>
      </c>
      <c r="P9" s="84">
        <f>J9-5-2</f>
        <v>20.054176684899051</v>
      </c>
      <c r="Q9" s="84">
        <f>K9-5-2</f>
        <v>47.207817254669052</v>
      </c>
      <c r="R9" s="85">
        <f>L9-5-2</f>
        <v>68.319026818528698</v>
      </c>
      <c r="T9" t="s">
        <v>478</v>
      </c>
    </row>
    <row r="10" spans="2:20" x14ac:dyDescent="0.25">
      <c r="B10" s="1" t="s">
        <v>6</v>
      </c>
      <c r="C10" s="4">
        <v>0.32325762583059531</v>
      </c>
      <c r="D10" s="4">
        <v>2.3871332369028577</v>
      </c>
      <c r="E10" s="4">
        <v>8.3052343867245249</v>
      </c>
      <c r="F10" s="5">
        <v>17.331581938763456</v>
      </c>
      <c r="H10" s="1" t="s">
        <v>6</v>
      </c>
      <c r="I10" s="4">
        <v>1.3178964745401192</v>
      </c>
      <c r="J10" s="4">
        <v>8.3052343867245249</v>
      </c>
      <c r="K10" s="4">
        <v>18.823540211827741</v>
      </c>
      <c r="L10" s="5">
        <v>31.231659849479051</v>
      </c>
      <c r="M10" s="23"/>
      <c r="N10" s="1" t="s">
        <v>6</v>
      </c>
      <c r="O10" s="4">
        <f>I10</f>
        <v>1.3178964745401192</v>
      </c>
      <c r="P10" s="4">
        <f t="shared" ref="P10:R12" si="0">J10</f>
        <v>8.3052343867245249</v>
      </c>
      <c r="Q10" s="4">
        <f t="shared" si="0"/>
        <v>18.823540211827741</v>
      </c>
      <c r="R10" s="5">
        <f t="shared" si="0"/>
        <v>31.231659849479051</v>
      </c>
    </row>
    <row r="11" spans="2:20" x14ac:dyDescent="0.25">
      <c r="B11" s="1" t="s">
        <v>7</v>
      </c>
      <c r="C11" s="4">
        <v>24.915703160173575</v>
      </c>
      <c r="D11" s="4">
        <v>20.091704743932382</v>
      </c>
      <c r="E11" s="4">
        <v>15.242840356473454</v>
      </c>
      <c r="F11" s="5">
        <v>7.1365337394908348</v>
      </c>
      <c r="H11" s="1" t="s">
        <v>7</v>
      </c>
      <c r="I11" s="4">
        <v>24.393517764601075</v>
      </c>
      <c r="J11" s="4">
        <v>17.381313881198931</v>
      </c>
      <c r="K11" s="4">
        <v>10.59290373875643</v>
      </c>
      <c r="L11" s="5">
        <v>0</v>
      </c>
      <c r="M11" s="23"/>
      <c r="N11" s="1" t="s">
        <v>7</v>
      </c>
      <c r="O11" s="4">
        <f>I11</f>
        <v>24.393517764601075</v>
      </c>
      <c r="P11" s="4">
        <f t="shared" si="0"/>
        <v>17.381313881198931</v>
      </c>
      <c r="Q11" s="4">
        <f t="shared" si="0"/>
        <v>10.59290373875643</v>
      </c>
      <c r="R11" s="5">
        <f t="shared" si="0"/>
        <v>0</v>
      </c>
    </row>
    <row r="12" spans="2:20" x14ac:dyDescent="0.25">
      <c r="B12" s="1" t="s">
        <v>8</v>
      </c>
      <c r="C12" s="4">
        <v>134.35084248943895</v>
      </c>
      <c r="D12" s="4">
        <v>108.51509839420906</v>
      </c>
      <c r="E12" s="4">
        <v>81.212261997132629</v>
      </c>
      <c r="F12" s="5">
        <v>30.684608482688816</v>
      </c>
      <c r="H12" s="1" t="s">
        <v>8</v>
      </c>
      <c r="I12" s="4">
        <v>132.73455436028598</v>
      </c>
      <c r="J12" s="4">
        <v>102.0748118488149</v>
      </c>
      <c r="K12" s="4">
        <v>72.086450560222744</v>
      </c>
      <c r="L12" s="5">
        <v>25.487620498181553</v>
      </c>
      <c r="M12" s="23"/>
      <c r="N12" s="1" t="s">
        <v>8</v>
      </c>
      <c r="O12" s="4">
        <f>I12</f>
        <v>132.73455436028598</v>
      </c>
      <c r="P12" s="4">
        <f t="shared" si="0"/>
        <v>102.0748118488149</v>
      </c>
      <c r="Q12" s="4">
        <f t="shared" si="0"/>
        <v>72.086450560222744</v>
      </c>
      <c r="R12" s="5">
        <f t="shared" si="0"/>
        <v>25.487620498181553</v>
      </c>
    </row>
    <row r="13" spans="2:20" x14ac:dyDescent="0.25">
      <c r="B13" s="1" t="s">
        <v>9</v>
      </c>
      <c r="C13" s="4">
        <v>116.57167306875621</v>
      </c>
      <c r="D13" s="4">
        <v>151.28456888871858</v>
      </c>
      <c r="E13" s="4">
        <v>195.12327614559086</v>
      </c>
      <c r="F13" s="5">
        <v>288.76852375159257</v>
      </c>
      <c r="H13" s="1" t="s">
        <v>9</v>
      </c>
      <c r="I13" s="4">
        <v>106.79934638018514</v>
      </c>
      <c r="J13" s="4">
        <v>87.37902285913168</v>
      </c>
      <c r="K13" s="4">
        <v>48.289716104847386</v>
      </c>
      <c r="L13" s="5">
        <v>6.9376059697489296</v>
      </c>
      <c r="N13" s="1" t="s">
        <v>9</v>
      </c>
      <c r="O13" s="84">
        <f>I13-2.5</f>
        <v>104.29934638018514</v>
      </c>
      <c r="P13" s="84">
        <f>J13-2.5</f>
        <v>84.87902285913168</v>
      </c>
      <c r="Q13" s="84">
        <f>K13-2.5</f>
        <v>45.789716104847386</v>
      </c>
      <c r="R13" s="85">
        <f>L13-2.5</f>
        <v>4.4376059697489296</v>
      </c>
      <c r="T13" t="s">
        <v>479</v>
      </c>
    </row>
    <row r="14" spans="2:20" x14ac:dyDescent="0.25">
      <c r="B14" s="1" t="s">
        <v>10</v>
      </c>
      <c r="C14" s="4">
        <v>253.70750433458181</v>
      </c>
      <c r="D14" s="4">
        <v>201.48896477733183</v>
      </c>
      <c r="E14" s="4">
        <v>133.95298694995515</v>
      </c>
      <c r="F14" s="5">
        <v>39.586626178639051</v>
      </c>
      <c r="H14" s="1" t="s">
        <v>10</v>
      </c>
      <c r="I14" s="4">
        <v>248.38618649398586</v>
      </c>
      <c r="J14" s="4">
        <v>178.56253931457729</v>
      </c>
      <c r="K14" s="4">
        <v>110.57897400528132</v>
      </c>
      <c r="L14" s="5">
        <v>0</v>
      </c>
      <c r="N14" s="1" t="s">
        <v>10</v>
      </c>
      <c r="O14" s="4">
        <f>I14</f>
        <v>248.38618649398586</v>
      </c>
      <c r="P14" s="4">
        <f>J14</f>
        <v>178.56253931457729</v>
      </c>
      <c r="Q14" s="4">
        <f>K14</f>
        <v>110.57897400528132</v>
      </c>
      <c r="R14" s="5">
        <f>L14</f>
        <v>0</v>
      </c>
    </row>
    <row r="15" spans="2:20" x14ac:dyDescent="0.25">
      <c r="B15" s="1" t="s">
        <v>11</v>
      </c>
      <c r="C15" s="4">
        <v>16.834262514408692</v>
      </c>
      <c r="D15" s="4">
        <v>21.906920642827266</v>
      </c>
      <c r="E15" s="4">
        <v>26.556857260544291</v>
      </c>
      <c r="F15" s="5">
        <v>33.370133374204528</v>
      </c>
      <c r="H15" s="1" t="s">
        <v>11</v>
      </c>
      <c r="I15" s="4">
        <v>19.494921434706669</v>
      </c>
      <c r="J15" s="4">
        <v>35.43400898527679</v>
      </c>
      <c r="K15" s="4">
        <v>47.04641754396048</v>
      </c>
      <c r="L15" s="5">
        <v>56.420888693047743</v>
      </c>
      <c r="N15" s="1" t="s">
        <v>11</v>
      </c>
      <c r="O15" s="84">
        <f>I15-2.25</f>
        <v>17.244921434706669</v>
      </c>
      <c r="P15" s="84">
        <f>J15-2.25</f>
        <v>33.18400898527679</v>
      </c>
      <c r="Q15" s="84">
        <f>K15-2.25</f>
        <v>44.79641754396048</v>
      </c>
      <c r="R15" s="85">
        <f>L15-2.25</f>
        <v>54.170888693047743</v>
      </c>
      <c r="T15" t="s">
        <v>480</v>
      </c>
    </row>
    <row r="16" spans="2:20" x14ac:dyDescent="0.25">
      <c r="B16" s="7" t="s">
        <v>12</v>
      </c>
      <c r="C16" s="8">
        <f>SUM(C6:C15)</f>
        <v>753.63785566720628</v>
      </c>
      <c r="D16" s="8">
        <f>SUM(D6:D15)</f>
        <v>706.98929366272955</v>
      </c>
      <c r="E16" s="8">
        <f>SUM(E6:E15)</f>
        <v>658.42605187448703</v>
      </c>
      <c r="F16" s="9">
        <f>SUM(F6:F15)</f>
        <v>604.59122418808431</v>
      </c>
      <c r="H16" s="7" t="s">
        <v>12</v>
      </c>
      <c r="I16" s="8">
        <f>SUM(I6:I15)</f>
        <v>744.98449768343335</v>
      </c>
      <c r="J16" s="8">
        <f>SUM(J6:J15)</f>
        <v>659.24662892467256</v>
      </c>
      <c r="K16" s="8">
        <f>SUM(K6:K15)</f>
        <v>555.5555289467045</v>
      </c>
      <c r="L16" s="9">
        <f>SUM(L6:L15)</f>
        <v>395.31921041960032</v>
      </c>
      <c r="N16" s="7" t="s">
        <v>12</v>
      </c>
      <c r="O16" s="8">
        <f>SUM(O6:O15)</f>
        <v>739.28449768343353</v>
      </c>
      <c r="P16" s="8">
        <f>SUM(P6:P15)</f>
        <v>646.54662892467252</v>
      </c>
      <c r="Q16" s="8">
        <f>SUM(Q6:Q15)</f>
        <v>542.85552894670457</v>
      </c>
      <c r="R16" s="9">
        <f>SUM(R6:R15)</f>
        <v>382.61921041960028</v>
      </c>
    </row>
    <row r="18" spans="8:20" ht="18.75" x14ac:dyDescent="0.3">
      <c r="H18" s="51" t="s">
        <v>119</v>
      </c>
      <c r="J18" s="21"/>
      <c r="K18" s="21"/>
      <c r="L18" s="21"/>
      <c r="N18" s="51" t="s">
        <v>118</v>
      </c>
    </row>
    <row r="19" spans="8:20" x14ac:dyDescent="0.25">
      <c r="I19" s="21"/>
      <c r="J19" s="21"/>
      <c r="K19" s="21"/>
      <c r="L19" s="30"/>
      <c r="O19" s="25"/>
    </row>
    <row r="20" spans="8:20" x14ac:dyDescent="0.25">
      <c r="I20" s="77">
        <f>'2.Heat Targets'!B23</f>
        <v>2015</v>
      </c>
      <c r="J20" s="78">
        <f>'2.Heat Targets'!C23</f>
        <v>2025</v>
      </c>
      <c r="K20" s="78">
        <f>'2.Heat Targets'!D23</f>
        <v>2035</v>
      </c>
      <c r="L20" s="79">
        <f>'2.Heat Targets'!E23</f>
        <v>2050</v>
      </c>
      <c r="O20" s="77">
        <v>2015</v>
      </c>
      <c r="P20" s="78">
        <v>2025</v>
      </c>
      <c r="Q20" s="78">
        <v>2035</v>
      </c>
      <c r="R20" s="79">
        <v>2050</v>
      </c>
    </row>
    <row r="21" spans="8:20" x14ac:dyDescent="0.25">
      <c r="I21" s="62">
        <f>'2.Heat Targets'!B24</f>
        <v>6624.9302325581402</v>
      </c>
      <c r="J21" s="63">
        <f>'2.Heat Targets'!C24</f>
        <v>5554.4186046511622</v>
      </c>
      <c r="K21" s="63">
        <f>'2.Heat Targets'!D24</f>
        <v>4589.395348837209</v>
      </c>
      <c r="L21" s="64">
        <f>'2.Heat Targets'!E24</f>
        <v>3132.0930232558139</v>
      </c>
      <c r="O21" s="62">
        <f>C16*1000</f>
        <v>753637.85566720623</v>
      </c>
      <c r="P21" s="63">
        <f>D16*1000</f>
        <v>706989.29366272956</v>
      </c>
      <c r="Q21" s="63">
        <f>E16*1000</f>
        <v>658426.05187448708</v>
      </c>
      <c r="R21" s="64">
        <f>F16*1000</f>
        <v>604591.22418808436</v>
      </c>
      <c r="T21" t="str">
        <f>'2.Heat Targets'!G24</f>
        <v>Total heat energy consumed by Residential buildings in the Reference Scenario, in millions of Btu (taken from Table 1)</v>
      </c>
    </row>
    <row r="22" spans="8:20" x14ac:dyDescent="0.25">
      <c r="I22" s="62">
        <f>'2.Heat Targets'!B25</f>
        <v>52.874418604651154</v>
      </c>
      <c r="J22" s="63">
        <f>'2.Heat Targets'!C25</f>
        <v>283.38604651162791</v>
      </c>
      <c r="K22" s="63">
        <f>'2.Heat Targets'!D25</f>
        <v>557.91627906976737</v>
      </c>
      <c r="L22" s="64">
        <f>'2.Heat Targets'!E25</f>
        <v>597.63720930232546</v>
      </c>
      <c r="O22" s="62">
        <f>(C9+C10)*(2.4-1)*1000</f>
        <v>4316.7326033993331</v>
      </c>
      <c r="P22" s="63">
        <f>(D9+D10)*(2.6-1)*1000</f>
        <v>29003.668828369719</v>
      </c>
      <c r="Q22" s="63">
        <f>(E9+E10)*(2.8-1)*1000</f>
        <v>69734.129683024716</v>
      </c>
      <c r="R22" s="64">
        <f>(F9+F10)*(3-1)*1000</f>
        <v>118660.41465104622</v>
      </c>
      <c r="T22" t="str">
        <f>'2.Heat Targets'!G25</f>
        <v>This is an adjustment that must be made to account for the superior efficiency of heat pump technology compared to combustion based heating technology. It assumes moderate increases in equipment efficiency</v>
      </c>
    </row>
    <row r="23" spans="8:20" x14ac:dyDescent="0.25">
      <c r="I23" s="62">
        <f>'2.Heat Targets'!B26</f>
        <v>6454.3255813953474</v>
      </c>
      <c r="J23" s="63">
        <f>'2.Heat Targets'!C26</f>
        <v>5269.2093023255811</v>
      </c>
      <c r="K23" s="63">
        <f>'2.Heat Targets'!D26</f>
        <v>3985.1162790697667</v>
      </c>
      <c r="L23" s="64">
        <f>'2.Heat Targets'!E26</f>
        <v>2245.2093023255816</v>
      </c>
      <c r="O23" s="62">
        <f>O16*1000</f>
        <v>739284.49768343358</v>
      </c>
      <c r="P23" s="63">
        <f>P16*1000</f>
        <v>646546.62892467249</v>
      </c>
      <c r="Q23" s="63">
        <f>Q16*1000</f>
        <v>542855.52894670458</v>
      </c>
      <c r="R23" s="64">
        <f>R16*1000</f>
        <v>382619.21041960031</v>
      </c>
      <c r="T23" t="str">
        <f>'2.Heat Targets'!G26</f>
        <v>Total heat energy consumed by Residential buildings in 90x50 Scenario, in millions of Btu (taken from Table 2)</v>
      </c>
    </row>
    <row r="24" spans="8:20" x14ac:dyDescent="0.25">
      <c r="I24" s="62">
        <f>'2.Heat Targets'!B27</f>
        <v>71.106976744186028</v>
      </c>
      <c r="J24" s="63">
        <f>'2.Heat Targets'!C27</f>
        <v>325.06046511627909</v>
      </c>
      <c r="K24" s="63">
        <f>'2.Heat Targets'!D27</f>
        <v>738.4186046511627</v>
      </c>
      <c r="L24" s="64">
        <f>'2.Heat Targets'!E27</f>
        <v>1031.4418604651162</v>
      </c>
      <c r="O24" s="62">
        <f>(O9+O10)*(2.4-1)*1000</f>
        <v>8494.2157679793345</v>
      </c>
      <c r="P24" s="63">
        <f>(P9+P10)*(2.6-1)*1000</f>
        <v>45375.057714597722</v>
      </c>
      <c r="Q24" s="63">
        <f>(Q9+Q10)*(2.8-1)*1000</f>
        <v>118856.44343969421</v>
      </c>
      <c r="R24" s="64">
        <f>(R9+R10)*(3-1)*1000</f>
        <v>199101.3733360155</v>
      </c>
      <c r="T24" t="str">
        <f>'2.Heat Targets'!G27</f>
        <v>This is an adjustment that must be made to account for the superior efficiency of heat pump technology compared to combustion based heating technology. It assumes moderate increases in equipment efficiency</v>
      </c>
    </row>
    <row r="25" spans="8:20" x14ac:dyDescent="0.25">
      <c r="I25" s="62">
        <f>'2.Heat Targets'!B28</f>
        <v>152.37209302325832</v>
      </c>
      <c r="J25" s="63">
        <f>'2.Heat Targets'!C28</f>
        <v>243.53488372092971</v>
      </c>
      <c r="K25" s="63">
        <f>'2.Heat Targets'!D28</f>
        <v>423.77674418604693</v>
      </c>
      <c r="L25" s="64">
        <f>'2.Heat Targets'!E28</f>
        <v>453.07906976744175</v>
      </c>
      <c r="O25" s="62">
        <f>O21+O22-O23-O24</f>
        <v>10175.874819192624</v>
      </c>
      <c r="P25" s="63">
        <f>P21+P22-P23-P24</f>
        <v>44071.275851829043</v>
      </c>
      <c r="Q25" s="63">
        <f>Q21+Q22-Q23-Q24</f>
        <v>66448.209171113005</v>
      </c>
      <c r="R25" s="64">
        <f>R21+R22-R23-R24</f>
        <v>141531.05508351472</v>
      </c>
      <c r="T25" t="str">
        <f>'2.Heat Targets'!G28</f>
        <v>Total heat energy saved through weatherization of Residential buildings, in millions of Btu</v>
      </c>
    </row>
    <row r="26" spans="8:20" x14ac:dyDescent="0.25">
      <c r="I26" s="308">
        <f>'2.Heat Targets'!B29</f>
        <v>31.037500000000001</v>
      </c>
      <c r="J26" s="308">
        <f>'2.Heat Targets'!C29</f>
        <v>0</v>
      </c>
      <c r="K26" s="308">
        <f>'2.Heat Targets'!D29</f>
        <v>0</v>
      </c>
      <c r="L26" s="308">
        <f>'2.Heat Targets'!E29</f>
        <v>0</v>
      </c>
      <c r="O26" s="308">
        <f>'2.Heat Targets'!B29</f>
        <v>31.037500000000001</v>
      </c>
      <c r="P26" s="308"/>
      <c r="Q26" s="308"/>
      <c r="R26" s="308"/>
      <c r="T26" t="str">
        <f>'2.Heat Targets'!G29</f>
        <v xml:space="preserve">Enter an estimate of the typical amount of heat energy that will be saved through future Residential weatherization investments, in millions of Btu. Historically, savings of 20 to 30 per cent are typical.   </v>
      </c>
    </row>
    <row r="27" spans="8:20" x14ac:dyDescent="0.25">
      <c r="I27" s="62">
        <f>'2.Heat Targets'!B30</f>
        <v>4.9092901497626515</v>
      </c>
      <c r="J27" s="63">
        <f>'2.Heat Targets'!C30</f>
        <v>7.8464722906461439</v>
      </c>
      <c r="K27" s="63">
        <f>'2.Heat Targets'!D30</f>
        <v>13.653700980621728</v>
      </c>
      <c r="L27" s="64">
        <f>'2.Heat Targets'!E30</f>
        <v>14.597795240191438</v>
      </c>
      <c r="O27" s="62">
        <f>O25/$O$26</f>
        <v>327.85742470213853</v>
      </c>
      <c r="P27" s="63">
        <f>P25/$O$26</f>
        <v>1419.9363947427803</v>
      </c>
      <c r="Q27" s="63">
        <f>Q25/$O$26</f>
        <v>2140.9008190451227</v>
      </c>
      <c r="R27" s="64">
        <f>R25/$O$26</f>
        <v>4560.0017747407073</v>
      </c>
      <c r="T27" t="str">
        <f>'2.Heat Targets'!G30</f>
        <v xml:space="preserve">This formula computes a projection of the number of area residences weatherized, based on the value inputed above. It will be higher or lower depending on the assumption of "typical" weatherization savings. </v>
      </c>
    </row>
    <row r="28" spans="8:20" x14ac:dyDescent="0.25">
      <c r="I28" s="203">
        <f>'2.Heat Targets'!B31</f>
        <v>36</v>
      </c>
      <c r="J28" s="203">
        <f>'2.Heat Targets'!C31</f>
        <v>38.160000000000004</v>
      </c>
      <c r="K28" s="203">
        <f>'2.Heat Targets'!D31</f>
        <v>40.449600000000004</v>
      </c>
      <c r="L28" s="203">
        <f>'2.Heat Targets'!E31</f>
        <v>42.876576000000007</v>
      </c>
      <c r="O28" s="203">
        <f>'2.Heat Targets'!B31</f>
        <v>36</v>
      </c>
      <c r="P28" s="203">
        <f>'2.Heat Targets'!C31</f>
        <v>38.160000000000004</v>
      </c>
      <c r="Q28" s="203">
        <f>'2.Heat Targets'!D31</f>
        <v>40.449600000000004</v>
      </c>
      <c r="R28" s="203">
        <f>'2.Heat Targets'!E31</f>
        <v>42.876576000000007</v>
      </c>
      <c r="T28" t="str">
        <f>'2.Heat Targets'!G31</f>
        <v>Enter a projection of the number of future residences in the area by each year.</v>
      </c>
    </row>
    <row r="29" spans="8:20" x14ac:dyDescent="0.25">
      <c r="I29" s="86">
        <f>'2.Heat Targets'!B32</f>
        <v>0.13636917082674033</v>
      </c>
      <c r="J29" s="87">
        <f>'2.Heat Targets'!C32</f>
        <v>0.20562034304628257</v>
      </c>
      <c r="K29" s="87">
        <f>'2.Heat Targets'!D32</f>
        <v>0.3375484796047854</v>
      </c>
      <c r="L29" s="88">
        <f>'2.Heat Targets'!E32</f>
        <v>0.34046084370616336</v>
      </c>
      <c r="O29" s="104">
        <f>O27/O28</f>
        <v>9.1071506861705149</v>
      </c>
      <c r="P29" s="105">
        <f>P27/P28</f>
        <v>37.210073237494242</v>
      </c>
      <c r="Q29" s="105">
        <f>Q27/Q28</f>
        <v>52.927614093714709</v>
      </c>
      <c r="R29" s="106">
        <f>R27/R28</f>
        <v>106.351817242606</v>
      </c>
      <c r="T29" t="str">
        <f>'2.Heat Targets'!G32</f>
        <v xml:space="preserve">This formula computes the estimated percentage of area residences weatherized by each year based on the values inputed above and on the "1.Current Heat" tab.  If Planners would like to increase the percentage of weatherized residences, adjustments can be made to Table 2 using the exchange rates above. See the "Exchange Example" tab for an example of how to make such adjustments. </v>
      </c>
    </row>
    <row r="31" spans="8:20" ht="18.75" x14ac:dyDescent="0.3">
      <c r="H31" s="51" t="s">
        <v>158</v>
      </c>
      <c r="N31" s="51" t="s">
        <v>159</v>
      </c>
    </row>
    <row r="33" spans="9:20" x14ac:dyDescent="0.25">
      <c r="I33" s="77">
        <f>'2.Heat Targets'!B53</f>
        <v>2015</v>
      </c>
      <c r="J33" s="78">
        <f>'2.Heat Targets'!C53</f>
        <v>2025</v>
      </c>
      <c r="K33" s="78">
        <f>'2.Heat Targets'!D53</f>
        <v>2035</v>
      </c>
      <c r="L33" s="79">
        <f>'2.Heat Targets'!E53</f>
        <v>2050</v>
      </c>
      <c r="O33" s="77">
        <v>2015</v>
      </c>
      <c r="P33" s="78">
        <v>2025</v>
      </c>
      <c r="Q33" s="78">
        <v>2035</v>
      </c>
      <c r="R33" s="79">
        <v>2050</v>
      </c>
    </row>
    <row r="34" spans="9:20" x14ac:dyDescent="0.25">
      <c r="I34" s="93">
        <f>'2.Heat Targets'!B54</f>
        <v>124.15</v>
      </c>
      <c r="J34" s="94">
        <f>'2.Heat Targets'!C54</f>
        <v>117.768058602701</v>
      </c>
      <c r="K34" s="94">
        <f>'2.Heat Targets'!D54</f>
        <v>113.67333906426649</v>
      </c>
      <c r="L34" s="95">
        <f>'2.Heat Targets'!E54</f>
        <v>113.58294656346996</v>
      </c>
      <c r="O34" s="107">
        <f>'1.Current Heat'!B10</f>
        <v>124.15</v>
      </c>
      <c r="P34" s="108">
        <f>P29*($O$34-$O$26)+(1-P29)*$O$34</f>
        <v>-1030.7576481087272</v>
      </c>
      <c r="Q34" s="108">
        <f>Q29*($O$34-$O$26)+(1-Q29)*$O$34</f>
        <v>-1518.5908224336699</v>
      </c>
      <c r="R34" s="110">
        <f>R29*($O$34-$O$26)+(1-R29)*$O$34</f>
        <v>-3176.7445276673843</v>
      </c>
      <c r="T34" t="str">
        <f>'2.Heat Targets'!G54</f>
        <v>This is a projection of the average area residential heating load, in millions of Btu, computed based on values inputted above and in the "1.Current Heat" tab</v>
      </c>
    </row>
    <row r="35" spans="9:20" x14ac:dyDescent="0.25">
      <c r="I35" s="81">
        <f>'2.Heat Targets'!B55</f>
        <v>2380.6511627906975</v>
      </c>
      <c r="J35" s="82">
        <f>'2.Heat Targets'!C55</f>
        <v>1728.1860465116279</v>
      </c>
      <c r="K35" s="82">
        <f>'2.Heat Targets'!D55</f>
        <v>1099.1627906976744</v>
      </c>
      <c r="L35" s="83">
        <f>'2.Heat Targets'!E55</f>
        <v>165.3953488372093</v>
      </c>
      <c r="O35" s="81">
        <f>(O6+O11+O14)*1000</f>
        <v>278943.3118120947</v>
      </c>
      <c r="P35" s="81">
        <f>(P6+P11+P14)*1000</f>
        <v>212824.69434412909</v>
      </c>
      <c r="Q35" s="81">
        <f>(Q6+Q11+Q14)*1000</f>
        <v>149540.79759498563</v>
      </c>
      <c r="R35" s="99">
        <f>(R6+R11+R14)*1000</f>
        <v>49256.335673847861</v>
      </c>
      <c r="T35" t="str">
        <f>'2.Heat Targets'!G55</f>
        <v>Total biofuel-blended heat energy consumed by Residences in 90x50 Scenario, in millions of Btu (taken from Table 2)</v>
      </c>
    </row>
    <row r="36" spans="9:20" x14ac:dyDescent="0.25">
      <c r="I36" s="96">
        <f>'2.Heat Targets'!B56</f>
        <v>7.6586433260393879E-3</v>
      </c>
      <c r="J36" s="97">
        <f>'2.Heat Targets'!C56</f>
        <v>3.7678975131876416E-2</v>
      </c>
      <c r="K36" s="97">
        <f>'2.Heat Targets'!D56</f>
        <v>9.7156398104265393E-2</v>
      </c>
      <c r="L36" s="98">
        <f>'2.Heat Targets'!E56</f>
        <v>1</v>
      </c>
      <c r="O36" s="96">
        <f>O6*1000/O35</f>
        <v>2.2096272943298762E-2</v>
      </c>
      <c r="P36" s="96">
        <f>P6*1000/P35</f>
        <v>7.931805658349593E-2</v>
      </c>
      <c r="Q36" s="96">
        <f>Q6*1000/Q35</f>
        <v>0.18970689141154562</v>
      </c>
      <c r="R36" s="111">
        <f>R6*1000/R35</f>
        <v>1</v>
      </c>
      <c r="T36" t="str">
        <f>'2.Heat Targets'!G56</f>
        <v>This formula computes the biofuel share of biofuel-blended heat consumed by Residences in the 90x50 scenario.</v>
      </c>
    </row>
    <row r="37" spans="9:20" x14ac:dyDescent="0.25">
      <c r="I37" s="62">
        <f>'2.Heat Targets'!B57</f>
        <v>19.175603405482864</v>
      </c>
      <c r="J37" s="63">
        <f>'2.Heat Targets'!C57</f>
        <v>14.674488711253936</v>
      </c>
      <c r="K37" s="63">
        <f>'2.Heat Targets'!D57</f>
        <v>9.6694862642879738</v>
      </c>
      <c r="L37" s="64">
        <f>'2.Heat Targets'!E57</f>
        <v>1.4561635689278993</v>
      </c>
      <c r="O37" s="62">
        <f>O35/O34</f>
        <v>2246.8249038428894</v>
      </c>
      <c r="P37" s="62">
        <f>P35/P34</f>
        <v>-206.47403852363146</v>
      </c>
      <c r="Q37" s="62">
        <f>Q35/Q34</f>
        <v>-98.473397432584164</v>
      </c>
      <c r="R37" s="112">
        <f>R35/R34</f>
        <v>-15.50528701469606</v>
      </c>
      <c r="T37" t="str">
        <f>'2.Heat Targets'!G57</f>
        <v>This formula computes an estimate the number of residences using biofuel-blended heat energy in the 90x50 scenario based on values inputted in the "1.Current Heat" tab.</v>
      </c>
    </row>
    <row r="38" spans="9:20" x14ac:dyDescent="0.25">
      <c r="I38" s="65">
        <f>'2.Heat Targets'!B58</f>
        <v>0.53265565015230176</v>
      </c>
      <c r="J38" s="66">
        <f>'2.Heat Targets'!C58</f>
        <v>0.38455159096577396</v>
      </c>
      <c r="K38" s="66">
        <f>'2.Heat Targets'!D58</f>
        <v>0.23905023199952466</v>
      </c>
      <c r="L38" s="67">
        <f>'2.Heat Targets'!E58</f>
        <v>3.3961750325583344E-2</v>
      </c>
      <c r="O38" s="109">
        <f>O37/O28</f>
        <v>62.411802884524704</v>
      </c>
      <c r="P38" s="109">
        <f>P37/P28</f>
        <v>-5.4107452443299646</v>
      </c>
      <c r="Q38" s="109">
        <f>Q37/Q28</f>
        <v>-2.4344714764196471</v>
      </c>
      <c r="R38" s="113">
        <f>R37/R28</f>
        <v>-0.36162605462469899</v>
      </c>
      <c r="T38" t="str">
        <f>'2.Heat Targets'!G58</f>
        <v xml:space="preserve">This formula computes the estimated share of area residences using biofuel blends in the 90x50 scenario based on values inputted above and in the "1.Current Heat" tab. If Planners find that this percentage is too high or low for the area, adjustments can be made to Table 2 using the exchange rates above. See the "Heat Exchange" tab for an example of how to make such adjustments. </v>
      </c>
    </row>
    <row r="39" spans="9:20" x14ac:dyDescent="0.25">
      <c r="I39" s="81">
        <f>'2.Heat Targets'!B59</f>
        <v>2832.5581395348836</v>
      </c>
      <c r="J39" s="82">
        <f>'2.Heat Targets'!C59</f>
        <v>2374.1395348837209</v>
      </c>
      <c r="K39" s="82">
        <f>'2.Heat Targets'!D59</f>
        <v>1881.8604651162789</v>
      </c>
      <c r="L39" s="83">
        <f>'2.Heat Targets'!E59</f>
        <v>1362.2325581395346</v>
      </c>
      <c r="O39" s="81">
        <f>(O7+O15)*1000</f>
        <v>187301.35880758287</v>
      </c>
      <c r="P39" s="81">
        <f>(P7+P15)*1000</f>
        <v>193443.25369836419</v>
      </c>
      <c r="Q39" s="81">
        <f>(Q7+Q15)*1000</f>
        <v>195159.00571238811</v>
      </c>
      <c r="R39" s="99">
        <f>(R7+R15)*1000</f>
        <v>199560.28261792776</v>
      </c>
      <c r="T39" t="str">
        <f>'2.Heat Targets'!G59</f>
        <v>Total wood heat energy consumed by area residences in 90x50 Scenario, in millions of Btu (taken from Table 2)</v>
      </c>
    </row>
    <row r="40" spans="9:20" x14ac:dyDescent="0.25">
      <c r="I40" s="62">
        <f>'2.Heat Targets'!B60</f>
        <v>22.815611272935026</v>
      </c>
      <c r="J40" s="63">
        <f>'2.Heat Targets'!C60</f>
        <v>20.159452087879369</v>
      </c>
      <c r="K40" s="63">
        <f>'2.Heat Targets'!D60</f>
        <v>16.554985369545168</v>
      </c>
      <c r="L40" s="64">
        <f>'2.Heat Targets'!E60</f>
        <v>11.993284197626634</v>
      </c>
      <c r="O40" s="62">
        <f>O39/O34</f>
        <v>1508.6698252725159</v>
      </c>
      <c r="P40" s="62">
        <f>P39/P34</f>
        <v>-187.67093705615588</v>
      </c>
      <c r="Q40" s="62">
        <f>Q39/Q34</f>
        <v>-128.51322609709266</v>
      </c>
      <c r="R40" s="112">
        <f>R39/R34</f>
        <v>-62.819115884166052</v>
      </c>
      <c r="T40" t="str">
        <f>'2.Heat Targets'!G60</f>
        <v>This formula computes an estimate of the number of area residences using Wood heat energy in the 90x50 scenario based on values inputted above and in the "1.Current Heat" tab.</v>
      </c>
    </row>
    <row r="41" spans="9:20" x14ac:dyDescent="0.25">
      <c r="I41" s="65">
        <f>'2.Heat Targets'!B61</f>
        <v>0.63376697980375074</v>
      </c>
      <c r="J41" s="66">
        <f>'2.Heat Targets'!C61</f>
        <v>0.52828752850836913</v>
      </c>
      <c r="K41" s="66">
        <f>'2.Heat Targets'!D61</f>
        <v>0.40927439009397293</v>
      </c>
      <c r="L41" s="67">
        <f>'2.Heat Targets'!E61</f>
        <v>0.27971646331149747</v>
      </c>
      <c r="O41" s="109">
        <f>O40/O28</f>
        <v>41.907495146458778</v>
      </c>
      <c r="P41" s="109">
        <f>P40/P28</f>
        <v>-4.9180014951822812</v>
      </c>
      <c r="Q41" s="109">
        <f>Q40/Q28</f>
        <v>-3.17711982558771</v>
      </c>
      <c r="R41" s="113">
        <f>R40/R28</f>
        <v>-1.4651150288718493</v>
      </c>
      <c r="T41" t="str">
        <f>'2.Heat Targets'!G61</f>
        <v>This formula computes the estimated share of area residences using Wood heat  in the 90x50 scenario, based on values inputted in the "1.Current Heat" tab.</v>
      </c>
    </row>
    <row r="42" spans="9:20" x14ac:dyDescent="0.25">
      <c r="I42" s="81">
        <f>'2.Heat Targets'!B62</f>
        <v>50.790697674418603</v>
      </c>
      <c r="J42" s="82">
        <f>'2.Heat Targets'!C62</f>
        <v>203.16279069767441</v>
      </c>
      <c r="K42" s="82">
        <f>'2.Heat Targets'!D62</f>
        <v>410.23255813953483</v>
      </c>
      <c r="L42" s="83">
        <f>'2.Heat Targets'!E62</f>
        <v>515.72093023255809</v>
      </c>
      <c r="O42" s="81">
        <f>(O9+O10)*1000</f>
        <v>6067.2969771280968</v>
      </c>
      <c r="P42" s="81">
        <f>(P9+P10)*1000</f>
        <v>28359.411071623577</v>
      </c>
      <c r="Q42" s="81">
        <f>(Q9+Q10)*1000</f>
        <v>66031.357466496789</v>
      </c>
      <c r="R42" s="99">
        <f>(R9+R10)*1000</f>
        <v>99550.686668007751</v>
      </c>
      <c r="T42" t="str">
        <f>'2.Heat Targets'!G62</f>
        <v>Total heat pump  energy consumed by area residences in 90x50 Scenario, in millions of Btu (taken from Table 2)</v>
      </c>
    </row>
    <row r="43" spans="9:20" x14ac:dyDescent="0.25">
      <c r="I43" s="62">
        <f>'2.Heat Targets'!B63</f>
        <v>1.4026543285035917</v>
      </c>
      <c r="J43" s="63">
        <f>'2.Heat Targets'!C63</f>
        <v>5.9803794235464425</v>
      </c>
      <c r="K43" s="63">
        <f>'2.Heat Targets'!D63</f>
        <v>12.631052851158161</v>
      </c>
      <c r="L43" s="64">
        <f>'2.Heat Targets'!E63</f>
        <v>16.025218340772067</v>
      </c>
      <c r="O43" s="62">
        <f>O42/((0.7*O34)/2.4)</f>
        <v>167.55667389802005</v>
      </c>
      <c r="P43" s="112">
        <f>P42/((0.75*P34)/2.6)</f>
        <v>-95.378991588064153</v>
      </c>
      <c r="Q43" s="112">
        <f>Q42/((0.8*Q34)/2.8)</f>
        <v>-152.18698000713968</v>
      </c>
      <c r="R43" s="64">
        <f>R42/((0.85*R34)/3)</f>
        <v>-110.60233570894299</v>
      </c>
      <c r="T43" t="str">
        <f>'2.Heat Targets'!G63</f>
        <v>This formula computes an estimate the number of area residences using Heat Pumps in the 90x50 scenario based on values inputted in the "1.Current Heat" tab. It assumes moderate increases in equipment efficiency</v>
      </c>
    </row>
    <row r="44" spans="9:20" x14ac:dyDescent="0.25">
      <c r="I44" s="65">
        <f>'2.Heat Targets'!B64</f>
        <v>3.8962620236210881E-2</v>
      </c>
      <c r="J44" s="66">
        <f>'2.Heat Targets'!C64</f>
        <v>0.15671853835289418</v>
      </c>
      <c r="K44" s="66">
        <f>'2.Heat Targets'!D64</f>
        <v>0.31226644642117996</v>
      </c>
      <c r="L44" s="67">
        <f>'2.Heat Targets'!E64</f>
        <v>0.37375228704764263</v>
      </c>
      <c r="O44" s="109">
        <f>O43/O28</f>
        <v>4.6543520527227793</v>
      </c>
      <c r="P44" s="109">
        <f>P43/P28</f>
        <v>-2.4994494650960206</v>
      </c>
      <c r="Q44" s="109">
        <f>Q43/Q28</f>
        <v>-3.7623852895242393</v>
      </c>
      <c r="R44" s="113">
        <f>R43/R28</f>
        <v>-2.5795514947122404</v>
      </c>
      <c r="T44" t="str">
        <f>'2.Heat Targets'!G64</f>
        <v>This formula computes the estimated share of area residences using Heat Pumps in the 90x50 scenario based on values inputted above and in the "1.Current Heat" tab.</v>
      </c>
    </row>
    <row r="45" spans="9:20" x14ac:dyDescent="0.25">
      <c r="I45" s="81">
        <f>'2.Heat Targets'!B65</f>
        <v>920.74418604651157</v>
      </c>
      <c r="J45" s="82">
        <f>'2.Heat Targets'!C65</f>
        <v>720.18604651162786</v>
      </c>
      <c r="K45" s="82">
        <f>'2.Heat Targets'!D65</f>
        <v>461.02325581395348</v>
      </c>
      <c r="L45" s="83">
        <f>'2.Heat Targets'!E65</f>
        <v>161.48837209302326</v>
      </c>
      <c r="O45" s="81">
        <f>(O12+O13)*1000</f>
        <v>237033.90074047112</v>
      </c>
      <c r="P45" s="81">
        <f>(P12+P13)*1000</f>
        <v>186953.83470794657</v>
      </c>
      <c r="Q45" s="81">
        <f>(Q12+Q13)*1000</f>
        <v>117876.16666507014</v>
      </c>
      <c r="R45" s="99">
        <f>(R12+R13)*1000</f>
        <v>29925.226467930483</v>
      </c>
      <c r="T45" t="str">
        <f>'2.Heat Targets'!G65</f>
        <v>Total fossil heat energy consumed by Residences in 90x50 Scenario, in millions of Btu (taken from Table 2)</v>
      </c>
    </row>
    <row r="46" spans="9:20" x14ac:dyDescent="0.25">
      <c r="I46" s="62">
        <f>'2.Heat Targets'!B66</f>
        <v>7.4163849057310633</v>
      </c>
      <c r="J46" s="63">
        <f>'2.Heat Targets'!C66</f>
        <v>6.1152918291811806</v>
      </c>
      <c r="K46" s="63">
        <f>'2.Heat Targets'!D66</f>
        <v>4.0556849971065674</v>
      </c>
      <c r="L46" s="64">
        <f>'2.Heat Targets'!E66</f>
        <v>1.4217660043075553</v>
      </c>
      <c r="O46" s="62">
        <f>O45/O34</f>
        <v>1909.2541340352082</v>
      </c>
      <c r="P46" s="62">
        <f>P45/P34</f>
        <v>-181.37516132039039</v>
      </c>
      <c r="Q46" s="62">
        <f>Q45/Q34</f>
        <v>-77.622072334247108</v>
      </c>
      <c r="R46" s="112">
        <f>R45/R34</f>
        <v>-9.4200922382335666</v>
      </c>
      <c r="T46" t="str">
        <f>'2.Heat Targets'!G66</f>
        <v>This formula computes the estimates number of area residences using fossil heat in the 90x50 scenario based on values inputted in the "1.Current Heat" tab.</v>
      </c>
    </row>
    <row r="47" spans="9:20" x14ac:dyDescent="0.25">
      <c r="I47" s="65">
        <f>'2.Heat Targets'!B67</f>
        <v>0.20601069182586287</v>
      </c>
      <c r="J47" s="66">
        <f>'2.Heat Targets'!C67</f>
        <v>0.16025397875212735</v>
      </c>
      <c r="K47" s="66">
        <f>'2.Heat Targets'!D67</f>
        <v>0.10026514470122244</v>
      </c>
      <c r="L47" s="67">
        <f>'2.Heat Targets'!E67</f>
        <v>3.3159504254900274E-2</v>
      </c>
      <c r="O47" s="109">
        <f>O46/O28</f>
        <v>53.034837056533561</v>
      </c>
      <c r="P47" s="109">
        <f>P46/P28</f>
        <v>-4.7530178543079238</v>
      </c>
      <c r="Q47" s="109">
        <f>Q46/Q28</f>
        <v>-1.9189824456668818</v>
      </c>
      <c r="R47" s="113">
        <f>R46/R28</f>
        <v>-0.21970253031010603</v>
      </c>
      <c r="T47" t="str">
        <f>'2.Heat Targets'!G67</f>
        <v>This formula computes the estimated share of area residences using fossil heat in the 90x50 scenario based on values inputted above and in the "1.Current Heat" tab.</v>
      </c>
    </row>
  </sheetData>
  <mergeCells count="5">
    <mergeCell ref="N4:R4"/>
    <mergeCell ref="B4:F4"/>
    <mergeCell ref="O26:R26"/>
    <mergeCell ref="I26:L26"/>
    <mergeCell ref="H4:L4"/>
  </mergeCells>
  <pageMargins left="0.7" right="0.7" top="0.75" bottom="0.75" header="0.3" footer="0.3"/>
  <pageSetup orientation="portrait" horizontalDpi="200" verticalDpi="0" copies="0" r:id="rId1"/>
  <ignoredErrors>
    <ignoredError sqref="O13:R13 P9:R9" formula="1"/>
    <ignoredError sqref="I16:L16 C16:F16"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6"/>
  <sheetViews>
    <sheetView zoomScale="80" zoomScaleNormal="80" workbookViewId="0">
      <selection activeCell="C256" sqref="C2:C256"/>
    </sheetView>
  </sheetViews>
  <sheetFormatPr defaultRowHeight="15" x14ac:dyDescent="0.25"/>
  <cols>
    <col min="1" max="1" width="19.5703125" bestFit="1" customWidth="1"/>
    <col min="2" max="2" width="55.140625" bestFit="1" customWidth="1"/>
    <col min="3" max="3" width="19.140625" customWidth="1"/>
    <col min="4" max="5" width="20.140625" customWidth="1"/>
    <col min="7" max="7" width="52.7109375" bestFit="1" customWidth="1"/>
    <col min="8" max="8" width="18.28515625" customWidth="1"/>
  </cols>
  <sheetData>
    <row r="1" spans="1:8" ht="15.75" x14ac:dyDescent="0.25">
      <c r="A1" s="187" t="s">
        <v>465</v>
      </c>
      <c r="B1" s="187" t="s">
        <v>466</v>
      </c>
      <c r="C1" s="187" t="s">
        <v>467</v>
      </c>
      <c r="D1" s="190" t="s">
        <v>505</v>
      </c>
      <c r="E1" s="190" t="s">
        <v>506</v>
      </c>
      <c r="G1" t="s">
        <v>466</v>
      </c>
      <c r="H1" t="s">
        <v>505</v>
      </c>
    </row>
    <row r="2" spans="1:8" ht="15.75" x14ac:dyDescent="0.25">
      <c r="A2" s="187" t="s">
        <v>200</v>
      </c>
      <c r="B2" s="187" t="s">
        <v>201</v>
      </c>
      <c r="C2" s="187">
        <v>1415</v>
      </c>
      <c r="D2" s="189">
        <f t="shared" ref="D2:D65" si="0">C2/SUM($C$2:$C$256)</f>
        <v>2.2590914461059009E-3</v>
      </c>
      <c r="E2" s="208">
        <f>town_population[[#This Row],[Pop Share of State]]/(INDEX(regional_population[Pop Share of State],MATCH(town_population[[#This Row],[Regional Planning Commission]],regional_population[Regional Planning Commission],0)))</f>
        <v>3.9110005527915978E-2</v>
      </c>
      <c r="G2" t="s">
        <v>201</v>
      </c>
      <c r="H2" s="189">
        <f>SUMIF(town_population[Regional Planning Commission],G2,town_population[Pop Share of State])</f>
        <v>5.7762493653789042E-2</v>
      </c>
    </row>
    <row r="3" spans="1:8" ht="15.75" x14ac:dyDescent="0.25">
      <c r="A3" s="187" t="s">
        <v>202</v>
      </c>
      <c r="B3" s="187" t="s">
        <v>203</v>
      </c>
      <c r="C3" s="187">
        <v>893</v>
      </c>
      <c r="D3" s="189">
        <f t="shared" si="0"/>
        <v>1.4257022341855616E-3</v>
      </c>
      <c r="E3" s="208">
        <f>town_population[[#This Row],[Pop Share of State]]/(INDEX(regional_population[Pop Share of State],MATCH(town_population[[#This Row],[Regional Planning Commission]],regional_population[Regional Planning Commission],0)))</f>
        <v>1.3844961240310079E-2</v>
      </c>
      <c r="G3" t="s">
        <v>209</v>
      </c>
      <c r="H3" s="189">
        <f>SUMIF(town_population[Regional Planning Commission],G3,town_population[Pop Share of State])</f>
        <v>5.6215455059247271E-2</v>
      </c>
    </row>
    <row r="4" spans="1:8" ht="15.75" x14ac:dyDescent="0.25">
      <c r="A4" s="187" t="s">
        <v>204</v>
      </c>
      <c r="B4" s="187" t="s">
        <v>205</v>
      </c>
      <c r="C4" s="187">
        <v>1623</v>
      </c>
      <c r="D4" s="189">
        <f t="shared" si="0"/>
        <v>2.5911699060281821E-3</v>
      </c>
      <c r="E4" s="208">
        <f>town_population[[#This Row],[Pop Share of State]]/(INDEX(regional_population[Pop Share of State],MATCH(town_population[[#This Row],[Regional Planning Commission]],regional_population[Regional Planning Commission],0)))</f>
        <v>2.9399510913866497E-2</v>
      </c>
      <c r="G4" t="s">
        <v>220</v>
      </c>
      <c r="H4" s="189">
        <f>SUMIF(town_population[Regional Planning Commission],G4,town_population[Pop Share of State])</f>
        <v>0.10352705641182838</v>
      </c>
    </row>
    <row r="5" spans="1:8" ht="15.75" x14ac:dyDescent="0.25">
      <c r="A5" s="187" t="s">
        <v>206</v>
      </c>
      <c r="B5" s="187" t="s">
        <v>207</v>
      </c>
      <c r="C5" s="187">
        <v>425</v>
      </c>
      <c r="D5" s="189">
        <f t="shared" si="0"/>
        <v>6.7852569936042962E-4</v>
      </c>
      <c r="E5" s="208">
        <f>town_population[[#This Row],[Pop Share of State]]/(INDEX(regional_population[Pop Share of State],MATCH(town_population[[#This Row],[Regional Planning Commission]],regional_population[Regional Planning Commission],0)))</f>
        <v>1.7029972752043595E-2</v>
      </c>
      <c r="G5" t="s">
        <v>233</v>
      </c>
      <c r="H5" s="189">
        <f>SUMIF(town_population[Regional Planning Commission],G5,town_population[Pop Share of State])</f>
        <v>0.25334712736166864</v>
      </c>
    </row>
    <row r="6" spans="1:8" ht="15.75" x14ac:dyDescent="0.25">
      <c r="A6" s="187" t="s">
        <v>208</v>
      </c>
      <c r="B6" s="187" t="s">
        <v>209</v>
      </c>
      <c r="C6" s="187">
        <v>2354</v>
      </c>
      <c r="D6" s="189">
        <f t="shared" si="0"/>
        <v>3.7582341089281209E-3</v>
      </c>
      <c r="E6" s="208">
        <f>town_population[[#This Row],[Pop Share of State]]/(INDEX(regional_population[Pop Share of State],MATCH(town_population[[#This Row],[Regional Planning Commission]],regional_population[Regional Planning Commission],0)))</f>
        <v>6.6854108091221484E-2</v>
      </c>
      <c r="G6" t="s">
        <v>224</v>
      </c>
      <c r="H6" s="189">
        <f>SUMIF(town_population[Regional Planning Commission],G6,town_population[Pop Share of State])</f>
        <v>3.9662621056967426E-2</v>
      </c>
    </row>
    <row r="7" spans="1:8" ht="15.75" x14ac:dyDescent="0.25">
      <c r="A7" s="187" t="s">
        <v>210</v>
      </c>
      <c r="B7" s="187" t="s">
        <v>211</v>
      </c>
      <c r="C7" s="187">
        <v>402</v>
      </c>
      <c r="D7" s="189">
        <f t="shared" si="0"/>
        <v>6.4180548504210052E-4</v>
      </c>
      <c r="E7" s="208">
        <f>town_population[[#This Row],[Pop Share of State]]/(INDEX(regional_population[Pop Share of State],MATCH(town_population[[#This Row],[Regional Planning Commission]],regional_population[Regional Planning Commission],0)))</f>
        <v>8.7058212058212063E-3</v>
      </c>
      <c r="G7" t="s">
        <v>203</v>
      </c>
      <c r="H7" s="189">
        <f>SUMIF(town_population[Regional Planning Commission],G7,town_population[Pop Share of State])</f>
        <v>0.10297625319705343</v>
      </c>
    </row>
    <row r="8" spans="1:8" ht="15.75" x14ac:dyDescent="0.25">
      <c r="A8" s="187" t="s">
        <v>212</v>
      </c>
      <c r="B8" s="187" t="s">
        <v>203</v>
      </c>
      <c r="C8" s="187">
        <v>19</v>
      </c>
      <c r="D8" s="189">
        <f t="shared" si="0"/>
        <v>3.0334090089054504E-5</v>
      </c>
      <c r="E8" s="208">
        <f>town_population[[#This Row],[Pop Share of State]]/(INDEX(regional_population[Pop Share of State],MATCH(town_population[[#This Row],[Regional Planning Commission]],regional_population[Regional Planning Commission],0)))</f>
        <v>2.9457364341085277E-4</v>
      </c>
      <c r="G8" t="s">
        <v>205</v>
      </c>
      <c r="H8" s="189">
        <f>SUMIF(town_population[Regional Planning Commission],G8,town_population[Pop Share of State])</f>
        <v>8.8136497019276519E-2</v>
      </c>
    </row>
    <row r="9" spans="1:8" ht="15.75" x14ac:dyDescent="0.25">
      <c r="A9" s="187" t="s">
        <v>213</v>
      </c>
      <c r="B9" s="187" t="s">
        <v>203</v>
      </c>
      <c r="C9" s="187">
        <v>0</v>
      </c>
      <c r="D9" s="189">
        <f t="shared" si="0"/>
        <v>0</v>
      </c>
      <c r="E9" s="208">
        <f>town_population[[#This Row],[Pop Share of State]]/(INDEX(regional_population[Pop Share of State],MATCH(town_population[[#This Row],[Regional Planning Commission]],regional_population[Regional Planning Commission],0)))</f>
        <v>0</v>
      </c>
      <c r="G9" t="s">
        <v>227</v>
      </c>
      <c r="H9" s="189">
        <f>SUMIF(town_population[Regional Planning Commission],G9,town_population[Pop Share of State])</f>
        <v>9.6186206610277186E-2</v>
      </c>
    </row>
    <row r="10" spans="1:8" ht="15.75" x14ac:dyDescent="0.25">
      <c r="A10" s="187" t="s">
        <v>214</v>
      </c>
      <c r="B10" s="187" t="s">
        <v>205</v>
      </c>
      <c r="C10" s="187">
        <v>1551</v>
      </c>
      <c r="D10" s="189">
        <f t="shared" si="0"/>
        <v>2.4762196699012386E-3</v>
      </c>
      <c r="E10" s="208">
        <f>town_population[[#This Row],[Pop Share of State]]/(INDEX(regional_population[Pop Share of State],MATCH(town_population[[#This Row],[Regional Planning Commission]],regional_population[Regional Planning Commission],0)))</f>
        <v>2.8095281224526765E-2</v>
      </c>
      <c r="G10" t="s">
        <v>207</v>
      </c>
      <c r="H10" s="189">
        <f>SUMIF(town_population[Regional Planning Commission],G10,town_population[Pop Share of State])</f>
        <v>3.9843029066444428E-2</v>
      </c>
    </row>
    <row r="11" spans="1:8" ht="15.75" x14ac:dyDescent="0.25">
      <c r="A11" s="187" t="s">
        <v>215</v>
      </c>
      <c r="B11" s="187" t="s">
        <v>207</v>
      </c>
      <c r="C11" s="187">
        <v>234</v>
      </c>
      <c r="D11" s="189">
        <f t="shared" si="0"/>
        <v>3.73588267412566E-4</v>
      </c>
      <c r="E11" s="208">
        <f>town_population[[#This Row],[Pop Share of State]]/(INDEX(regional_population[Pop Share of State],MATCH(town_population[[#This Row],[Regional Planning Commission]],regional_population[Regional Planning Commission],0)))</f>
        <v>9.3765026446545937E-3</v>
      </c>
      <c r="G11" t="s">
        <v>217</v>
      </c>
      <c r="H11" s="189">
        <f>SUMIF(town_population[Regional Planning Commission],G11,town_population[Pop Share of State])</f>
        <v>8.86218424607014E-2</v>
      </c>
    </row>
    <row r="12" spans="1:8" ht="15.75" x14ac:dyDescent="0.25">
      <c r="A12" s="187" t="s">
        <v>216</v>
      </c>
      <c r="B12" s="187" t="s">
        <v>217</v>
      </c>
      <c r="C12" s="187">
        <v>899</v>
      </c>
      <c r="D12" s="189">
        <f t="shared" si="0"/>
        <v>1.4352814205294735E-3</v>
      </c>
      <c r="E12" s="208">
        <f>town_population[[#This Row],[Pop Share of State]]/(INDEX(regional_population[Pop Share of State],MATCH(town_population[[#This Row],[Regional Planning Commission]],regional_population[Regional Planning Commission],0)))</f>
        <v>1.6195571889243181E-2</v>
      </c>
      <c r="G12" t="s">
        <v>211</v>
      </c>
      <c r="H12" s="189">
        <f>SUMIF(town_population[Regional Planning Commission],G12,town_population[Pop Share of State])</f>
        <v>7.372141810274635E-2</v>
      </c>
    </row>
    <row r="13" spans="1:8" ht="15.75" x14ac:dyDescent="0.25">
      <c r="A13" s="187" t="s">
        <v>218</v>
      </c>
      <c r="B13" s="187" t="s">
        <v>203</v>
      </c>
      <c r="C13" s="187">
        <v>1648</v>
      </c>
      <c r="D13" s="189">
        <f t="shared" si="0"/>
        <v>2.6310831824611484E-3</v>
      </c>
      <c r="E13" s="208">
        <f>town_population[[#This Row],[Pop Share of State]]/(INDEX(regional_population[Pop Share of State],MATCH(town_population[[#This Row],[Regional Planning Commission]],regional_population[Regional Planning Commission],0)))</f>
        <v>2.5550387596899225E-2</v>
      </c>
    </row>
    <row r="14" spans="1:8" ht="15.75" x14ac:dyDescent="0.25">
      <c r="A14" s="187" t="s">
        <v>221</v>
      </c>
      <c r="B14" s="187" t="s">
        <v>220</v>
      </c>
      <c r="C14" s="187">
        <v>7908</v>
      </c>
      <c r="D14" s="189">
        <f t="shared" si="0"/>
        <v>1.2625367601275948E-2</v>
      </c>
      <c r="E14" s="208">
        <f>town_population[[#This Row],[Pop Share of State]]/(INDEX(regional_population[Pop Share of State],MATCH(town_population[[#This Row],[Regional Planning Commission]],regional_population[Regional Planning Commission],0)))</f>
        <v>0.12195234790654637</v>
      </c>
    </row>
    <row r="15" spans="1:8" ht="15.75" x14ac:dyDescent="0.25">
      <c r="A15" s="187" t="s">
        <v>219</v>
      </c>
      <c r="B15" s="187" t="s">
        <v>220</v>
      </c>
      <c r="C15" s="187">
        <v>8955</v>
      </c>
      <c r="D15" s="189">
        <f t="shared" si="0"/>
        <v>1.4296935618288582E-2</v>
      </c>
      <c r="E15" s="208">
        <f>town_population[[#This Row],[Pop Share of State]]/(INDEX(regional_population[Pop Share of State],MATCH(town_population[[#This Row],[Regional Planning Commission]],regional_population[Regional Planning Commission],0)))</f>
        <v>0.13809854267869534</v>
      </c>
    </row>
    <row r="16" spans="1:8" ht="15.75" x14ac:dyDescent="0.25">
      <c r="A16" s="187" t="s">
        <v>222</v>
      </c>
      <c r="B16" s="187" t="s">
        <v>203</v>
      </c>
      <c r="C16" s="187">
        <v>2766</v>
      </c>
      <c r="D16" s="189">
        <f t="shared" si="0"/>
        <v>4.4160049045434083E-3</v>
      </c>
      <c r="E16" s="208">
        <f>town_population[[#This Row],[Pop Share of State]]/(INDEX(regional_population[Pop Share of State],MATCH(town_population[[#This Row],[Regional Planning Commission]],regional_population[Regional Planning Commission],0)))</f>
        <v>4.2883720930232565E-2</v>
      </c>
    </row>
    <row r="17" spans="1:5" ht="15.75" x14ac:dyDescent="0.25">
      <c r="A17" s="187" t="s">
        <v>223</v>
      </c>
      <c r="B17" s="187" t="s">
        <v>224</v>
      </c>
      <c r="C17" s="187">
        <v>364</v>
      </c>
      <c r="D17" s="189">
        <f t="shared" si="0"/>
        <v>5.8113730486399149E-4</v>
      </c>
      <c r="E17" s="208">
        <f>town_population[[#This Row],[Pop Share of State]]/(INDEX(regional_population[Pop Share of State],MATCH(town_population[[#This Row],[Regional Planning Commission]],regional_population[Regional Planning Commission],0)))</f>
        <v>1.465201465201465E-2</v>
      </c>
    </row>
    <row r="18" spans="1:5" ht="15.75" x14ac:dyDescent="0.25">
      <c r="A18" s="187" t="s">
        <v>225</v>
      </c>
      <c r="B18" s="187" t="s">
        <v>209</v>
      </c>
      <c r="C18" s="187">
        <v>15575</v>
      </c>
      <c r="D18" s="189">
        <f t="shared" si="0"/>
        <v>2.4865971217738099E-2</v>
      </c>
      <c r="E18" s="208">
        <f>town_population[[#This Row],[Pop Share of State]]/(INDEX(regional_population[Pop Share of State],MATCH(town_population[[#This Row],[Regional Planning Commission]],regional_population[Regional Planning Commission],0)))</f>
        <v>0.44233336173354915</v>
      </c>
    </row>
    <row r="19" spans="1:5" ht="15.75" x14ac:dyDescent="0.25">
      <c r="A19" s="187" t="s">
        <v>226</v>
      </c>
      <c r="B19" s="187" t="s">
        <v>227</v>
      </c>
      <c r="C19" s="187">
        <v>1065</v>
      </c>
      <c r="D19" s="189">
        <f t="shared" si="0"/>
        <v>1.7003055760443709E-3</v>
      </c>
      <c r="E19" s="208">
        <f>town_population[[#This Row],[Pop Share of State]]/(INDEX(regional_population[Pop Share of State],MATCH(town_population[[#This Row],[Regional Planning Commission]],regional_population[Regional Planning Commission],0)))</f>
        <v>1.7677228741680085E-2</v>
      </c>
    </row>
    <row r="20" spans="1:5" ht="15.75" x14ac:dyDescent="0.25">
      <c r="A20" s="187" t="s">
        <v>228</v>
      </c>
      <c r="B20" s="187" t="s">
        <v>205</v>
      </c>
      <c r="C20" s="187">
        <v>1760</v>
      </c>
      <c r="D20" s="189">
        <f t="shared" si="0"/>
        <v>2.8098946608808382E-3</v>
      </c>
      <c r="E20" s="208">
        <f>town_population[[#This Row],[Pop Share of State]]/(INDEX(regional_population[Pop Share of State],MATCH(town_population[[#This Row],[Regional Planning Commission]],regional_population[Regional Planning Commission],0)))</f>
        <v>3.1881170183860157E-2</v>
      </c>
    </row>
    <row r="21" spans="1:5" ht="15.75" x14ac:dyDescent="0.25">
      <c r="A21" s="187" t="s">
        <v>229</v>
      </c>
      <c r="B21" s="187" t="s">
        <v>220</v>
      </c>
      <c r="C21" s="187">
        <v>2869</v>
      </c>
      <c r="D21" s="189">
        <f t="shared" si="0"/>
        <v>4.5804476034472302E-3</v>
      </c>
      <c r="E21" s="208">
        <f>town_population[[#This Row],[Pop Share of State]]/(INDEX(regional_population[Pop Share of State],MATCH(town_population[[#This Row],[Regional Planning Commission]],regional_population[Regional Planning Commission],0)))</f>
        <v>4.4243966381370965E-2</v>
      </c>
    </row>
    <row r="22" spans="1:5" ht="15.75" x14ac:dyDescent="0.25">
      <c r="A22" s="187" t="s">
        <v>230</v>
      </c>
      <c r="B22" s="187" t="s">
        <v>217</v>
      </c>
      <c r="C22" s="187">
        <v>1919</v>
      </c>
      <c r="D22" s="189">
        <f t="shared" si="0"/>
        <v>3.0637430989945047E-3</v>
      </c>
      <c r="E22" s="208">
        <f>town_population[[#This Row],[Pop Share of State]]/(INDEX(regional_population[Pop Share of State],MATCH(town_population[[#This Row],[Regional Planning Commission]],regional_population[Regional Planning Commission],0)))</f>
        <v>3.4570970473256586E-2</v>
      </c>
    </row>
    <row r="23" spans="1:5" ht="15.75" x14ac:dyDescent="0.25">
      <c r="A23" s="187" t="s">
        <v>231</v>
      </c>
      <c r="B23" s="187" t="s">
        <v>203</v>
      </c>
      <c r="C23" s="187">
        <v>207</v>
      </c>
      <c r="D23" s="189">
        <f t="shared" si="0"/>
        <v>3.304819288649622E-4</v>
      </c>
      <c r="E23" s="208">
        <f>town_population[[#This Row],[Pop Share of State]]/(INDEX(regional_population[Pop Share of State],MATCH(town_population[[#This Row],[Regional Planning Commission]],regional_population[Regional Planning Commission],0)))</f>
        <v>3.2093023255813954E-3</v>
      </c>
    </row>
    <row r="24" spans="1:5" ht="15.75" x14ac:dyDescent="0.25">
      <c r="A24" s="187" t="s">
        <v>232</v>
      </c>
      <c r="B24" s="187" t="s">
        <v>233</v>
      </c>
      <c r="C24" s="187">
        <v>1247</v>
      </c>
      <c r="D24" s="189">
        <f t="shared" si="0"/>
        <v>1.9908742284763664E-3</v>
      </c>
      <c r="E24" s="208">
        <f>town_population[[#This Row],[Pop Share of State]]/(INDEX(regional_population[Pop Share of State],MATCH(town_population[[#This Row],[Regional Planning Commission]],regional_population[Regional Planning Commission],0)))</f>
        <v>7.8582861752139414E-3</v>
      </c>
    </row>
    <row r="25" spans="1:5" ht="15.75" x14ac:dyDescent="0.25">
      <c r="A25" s="187" t="s">
        <v>234</v>
      </c>
      <c r="B25" s="187" t="s">
        <v>217</v>
      </c>
      <c r="C25" s="187">
        <v>2776</v>
      </c>
      <c r="D25" s="189">
        <f t="shared" si="0"/>
        <v>4.431970215116595E-3</v>
      </c>
      <c r="E25" s="208">
        <f>town_population[[#This Row],[Pop Share of State]]/(INDEX(regional_population[Pop Share of State],MATCH(town_population[[#This Row],[Regional Planning Commission]],regional_population[Regional Planning Commission],0)))</f>
        <v>5.0009908303158046E-2</v>
      </c>
    </row>
    <row r="26" spans="1:5" ht="15.75" x14ac:dyDescent="0.25">
      <c r="A26" s="187" t="s">
        <v>235</v>
      </c>
      <c r="B26" s="187" t="s">
        <v>217</v>
      </c>
      <c r="C26" s="187">
        <v>1238</v>
      </c>
      <c r="D26" s="189">
        <f t="shared" si="0"/>
        <v>1.9765054489604985E-3</v>
      </c>
      <c r="E26" s="208">
        <f>town_population[[#This Row],[Pop Share of State]]/(INDEX(regional_population[Pop Share of State],MATCH(town_population[[#This Row],[Regional Planning Commission]],regional_population[Regional Planning Commission],0)))</f>
        <v>2.2302689653929987E-2</v>
      </c>
    </row>
    <row r="27" spans="1:5" ht="15.75" x14ac:dyDescent="0.25">
      <c r="A27" s="187" t="s">
        <v>236</v>
      </c>
      <c r="B27" s="187" t="s">
        <v>227</v>
      </c>
      <c r="C27" s="187">
        <v>3906</v>
      </c>
      <c r="D27" s="189">
        <f t="shared" si="0"/>
        <v>6.2360503098866779E-3</v>
      </c>
      <c r="E27" s="208">
        <f>town_population[[#This Row],[Pop Share of State]]/(INDEX(regional_population[Pop Share of State],MATCH(town_population[[#This Row],[Regional Planning Commission]],regional_population[Regional Planning Commission],0)))</f>
        <v>6.4833103723006949E-2</v>
      </c>
    </row>
    <row r="28" spans="1:5" ht="15.75" x14ac:dyDescent="0.25">
      <c r="A28" s="187" t="s">
        <v>237</v>
      </c>
      <c r="B28" s="187" t="s">
        <v>211</v>
      </c>
      <c r="C28" s="187">
        <v>11876</v>
      </c>
      <c r="D28" s="189">
        <f t="shared" si="0"/>
        <v>1.8960402836716381E-2</v>
      </c>
      <c r="E28" s="208">
        <f>town_population[[#This Row],[Pop Share of State]]/(INDEX(regional_population[Pop Share of State],MATCH(town_population[[#This Row],[Regional Planning Commission]],regional_population[Regional Planning Commission],0)))</f>
        <v>0.2571898821898822</v>
      </c>
    </row>
    <row r="29" spans="1:5" ht="15.75" x14ac:dyDescent="0.25">
      <c r="A29" s="187" t="s">
        <v>238</v>
      </c>
      <c r="B29" s="187" t="s">
        <v>217</v>
      </c>
      <c r="C29" s="187">
        <v>710</v>
      </c>
      <c r="D29" s="189">
        <f t="shared" si="0"/>
        <v>1.1335370506962471E-3</v>
      </c>
      <c r="E29" s="208">
        <f>town_population[[#This Row],[Pop Share of State]]/(INDEX(regional_population[Pop Share of State],MATCH(town_population[[#This Row],[Regional Planning Commission]],regional_population[Regional Planning Commission],0)))</f>
        <v>1.2790718622205405E-2</v>
      </c>
    </row>
    <row r="30" spans="1:5" ht="15.75" x14ac:dyDescent="0.25">
      <c r="A30" s="187" t="s">
        <v>239</v>
      </c>
      <c r="B30" s="187" t="s">
        <v>201</v>
      </c>
      <c r="C30" s="187">
        <v>1180</v>
      </c>
      <c r="D30" s="189">
        <f t="shared" si="0"/>
        <v>1.8839066476360165E-3</v>
      </c>
      <c r="E30" s="208">
        <f>town_population[[#This Row],[Pop Share of State]]/(INDEX(regional_population[Pop Share of State],MATCH(town_population[[#This Row],[Regional Planning Commission]],regional_population[Regional Planning Commission],0)))</f>
        <v>3.2614704256495305E-2</v>
      </c>
    </row>
    <row r="31" spans="1:5" ht="15.75" x14ac:dyDescent="0.25">
      <c r="A31" s="187" t="s">
        <v>240</v>
      </c>
      <c r="B31" s="187" t="s">
        <v>203</v>
      </c>
      <c r="C31" s="187">
        <v>939</v>
      </c>
      <c r="D31" s="189">
        <f t="shared" si="0"/>
        <v>1.4991426628222198E-3</v>
      </c>
      <c r="E31" s="208">
        <f>town_population[[#This Row],[Pop Share of State]]/(INDEX(regional_population[Pop Share of State],MATCH(town_population[[#This Row],[Regional Planning Commission]],regional_population[Regional Planning Commission],0)))</f>
        <v>1.4558139534883722E-2</v>
      </c>
    </row>
    <row r="32" spans="1:5" ht="15.75" x14ac:dyDescent="0.25">
      <c r="A32" s="187" t="s">
        <v>241</v>
      </c>
      <c r="B32" s="187" t="s">
        <v>201</v>
      </c>
      <c r="C32" s="187">
        <v>3896</v>
      </c>
      <c r="D32" s="189">
        <f t="shared" si="0"/>
        <v>6.2200849993134921E-3</v>
      </c>
      <c r="E32" s="208">
        <f>town_population[[#This Row],[Pop Share of State]]/(INDEX(regional_population[Pop Share of State],MATCH(town_population[[#This Row],[Regional Planning Commission]],regional_population[Regional Planning Commission],0)))</f>
        <v>0.10768380320619128</v>
      </c>
    </row>
    <row r="33" spans="1:5" ht="15.75" x14ac:dyDescent="0.25">
      <c r="A33" s="187" t="s">
        <v>242</v>
      </c>
      <c r="B33" s="187" t="s">
        <v>217</v>
      </c>
      <c r="C33" s="187">
        <v>1297</v>
      </c>
      <c r="D33" s="189">
        <f t="shared" si="0"/>
        <v>2.0707007813422994E-3</v>
      </c>
      <c r="E33" s="208">
        <f>town_population[[#This Row],[Pop Share of State]]/(INDEX(regional_population[Pop Share of State],MATCH(town_population[[#This Row],[Regional Planning Commission]],regional_population[Regional Planning Commission],0)))</f>
        <v>2.3365580356338608E-2</v>
      </c>
    </row>
    <row r="34" spans="1:5" ht="15.75" x14ac:dyDescent="0.25">
      <c r="A34" s="187" t="s">
        <v>243</v>
      </c>
      <c r="B34" s="187" t="s">
        <v>211</v>
      </c>
      <c r="C34" s="187">
        <v>567</v>
      </c>
      <c r="D34" s="189">
        <f t="shared" si="0"/>
        <v>9.0523310949967904E-4</v>
      </c>
      <c r="E34" s="208">
        <f>town_population[[#This Row],[Pop Share of State]]/(INDEX(regional_population[Pop Share of State],MATCH(town_population[[#This Row],[Regional Planning Commission]],regional_population[Regional Planning Commission],0)))</f>
        <v>1.2279106029106028E-2</v>
      </c>
    </row>
    <row r="35" spans="1:5" ht="15.75" x14ac:dyDescent="0.25">
      <c r="A35" s="187" t="s">
        <v>244</v>
      </c>
      <c r="B35" s="187" t="s">
        <v>203</v>
      </c>
      <c r="C35" s="187">
        <v>973</v>
      </c>
      <c r="D35" s="189">
        <f t="shared" si="0"/>
        <v>1.5534247187710543E-3</v>
      </c>
      <c r="E35" s="208">
        <f>town_population[[#This Row],[Pop Share of State]]/(INDEX(regional_population[Pop Share of State],MATCH(town_population[[#This Row],[Regional Planning Commission]],regional_population[Regional Planning Commission],0)))</f>
        <v>1.5085271317829458E-2</v>
      </c>
    </row>
    <row r="36" spans="1:5" ht="15.75" x14ac:dyDescent="0.25">
      <c r="A36" s="187" t="s">
        <v>245</v>
      </c>
      <c r="B36" s="187" t="s">
        <v>203</v>
      </c>
      <c r="C36" s="187">
        <v>84</v>
      </c>
      <c r="D36" s="189">
        <f t="shared" si="0"/>
        <v>1.3410860881476726E-4</v>
      </c>
      <c r="E36" s="208">
        <f>town_population[[#This Row],[Pop Share of State]]/(INDEX(regional_population[Pop Share of State],MATCH(town_population[[#This Row],[Regional Planning Commission]],regional_population[Regional Planning Commission],0)))</f>
        <v>1.3023255813953488E-3</v>
      </c>
    </row>
    <row r="37" spans="1:5" ht="15.75" x14ac:dyDescent="0.25">
      <c r="A37" s="187" t="s">
        <v>246</v>
      </c>
      <c r="B37" s="187" t="s">
        <v>233</v>
      </c>
      <c r="C37" s="187">
        <v>43</v>
      </c>
      <c r="D37" s="189">
        <f t="shared" si="0"/>
        <v>6.8650835464702291E-5</v>
      </c>
      <c r="E37" s="208">
        <f>town_population[[#This Row],[Pop Share of State]]/(INDEX(regional_population[Pop Share of State],MATCH(town_population[[#This Row],[Regional Planning Commission]],regional_population[Regional Planning Commission],0)))</f>
        <v>2.7097538535220486E-4</v>
      </c>
    </row>
    <row r="38" spans="1:5" ht="15.75" x14ac:dyDescent="0.25">
      <c r="A38" s="187" t="s">
        <v>247</v>
      </c>
      <c r="B38" s="187" t="s">
        <v>203</v>
      </c>
      <c r="C38" s="187">
        <v>1711</v>
      </c>
      <c r="D38" s="189">
        <f t="shared" si="0"/>
        <v>2.7316646390722239E-3</v>
      </c>
      <c r="E38" s="208">
        <f>town_population[[#This Row],[Pop Share of State]]/(INDEX(regional_population[Pop Share of State],MATCH(town_population[[#This Row],[Regional Planning Commission]],regional_population[Regional Planning Commission],0)))</f>
        <v>2.6527131782945738E-2</v>
      </c>
    </row>
    <row r="39" spans="1:5" ht="15.75" x14ac:dyDescent="0.25">
      <c r="A39" s="188" t="s">
        <v>248</v>
      </c>
      <c r="B39" s="187" t="s">
        <v>233</v>
      </c>
      <c r="C39" s="187">
        <v>42342</v>
      </c>
      <c r="D39" s="189">
        <f t="shared" si="0"/>
        <v>6.7600318028986611E-2</v>
      </c>
      <c r="E39" s="208">
        <f>town_population[[#This Row],[Pop Share of State]]/(INDEX(regional_population[Pop Share of State],MATCH(town_population[[#This Row],[Regional Planning Commission]],regional_population[Regional Planning Commission],0)))</f>
        <v>0.26682883178100136</v>
      </c>
    </row>
    <row r="40" spans="1:5" ht="15.75" x14ac:dyDescent="0.25">
      <c r="A40" s="187" t="s">
        <v>249</v>
      </c>
      <c r="B40" s="187" t="s">
        <v>220</v>
      </c>
      <c r="C40" s="187">
        <v>1393</v>
      </c>
      <c r="D40" s="189">
        <f t="shared" si="0"/>
        <v>2.2239677628448904E-3</v>
      </c>
      <c r="E40" s="208">
        <f>town_population[[#This Row],[Pop Share of State]]/(INDEX(regional_population[Pop Share of State],MATCH(town_population[[#This Row],[Regional Planning Commission]],regional_population[Regional Planning Commission],0)))</f>
        <v>2.1481995527797053E-2</v>
      </c>
    </row>
    <row r="41" spans="1:5" ht="15.75" x14ac:dyDescent="0.25">
      <c r="A41" s="187" t="s">
        <v>250</v>
      </c>
      <c r="B41" s="187" t="s">
        <v>220</v>
      </c>
      <c r="C41" s="187">
        <v>1556</v>
      </c>
      <c r="D41" s="189">
        <f t="shared" si="0"/>
        <v>2.484202325187832E-3</v>
      </c>
      <c r="E41" s="208">
        <f>town_population[[#This Row],[Pop Share of State]]/(INDEX(regional_population[Pop Share of State],MATCH(town_population[[#This Row],[Regional Planning Commission]],regional_population[Regional Planning Commission],0)))</f>
        <v>2.3995682010949187E-2</v>
      </c>
    </row>
    <row r="42" spans="1:5" ht="15.75" x14ac:dyDescent="0.25">
      <c r="A42" s="187" t="s">
        <v>251</v>
      </c>
      <c r="B42" s="187" t="s">
        <v>224</v>
      </c>
      <c r="C42" s="187">
        <v>3713</v>
      </c>
      <c r="D42" s="189">
        <f t="shared" si="0"/>
        <v>5.9279198158241776E-3</v>
      </c>
      <c r="E42" s="208">
        <f>town_population[[#This Row],[Pop Share of State]]/(INDEX(regional_population[Pop Share of State],MATCH(town_population[[#This Row],[Regional Planning Commission]],regional_population[Regional Planning Commission],0)))</f>
        <v>0.14945860000805056</v>
      </c>
    </row>
    <row r="43" spans="1:5" ht="15.75" x14ac:dyDescent="0.25">
      <c r="A43" s="187" t="s">
        <v>252</v>
      </c>
      <c r="B43" s="187" t="s">
        <v>203</v>
      </c>
      <c r="C43" s="187">
        <v>1164</v>
      </c>
      <c r="D43" s="189">
        <f t="shared" si="0"/>
        <v>1.8583621507189179E-3</v>
      </c>
      <c r="E43" s="208">
        <f>town_population[[#This Row],[Pop Share of State]]/(INDEX(regional_population[Pop Share of State],MATCH(town_population[[#This Row],[Regional Planning Commission]],regional_population[Regional Planning Commission],0)))</f>
        <v>1.8046511627906978E-2</v>
      </c>
    </row>
    <row r="44" spans="1:5" ht="15.75" x14ac:dyDescent="0.25">
      <c r="A44" s="187" t="s">
        <v>253</v>
      </c>
      <c r="B44" s="187" t="s">
        <v>227</v>
      </c>
      <c r="C44" s="187">
        <v>4669</v>
      </c>
      <c r="D44" s="189">
        <f t="shared" si="0"/>
        <v>7.4542035066208143E-3</v>
      </c>
      <c r="E44" s="208">
        <f>town_population[[#This Row],[Pop Share of State]]/(INDEX(regional_population[Pop Share of State],MATCH(town_population[[#This Row],[Regional Planning Commission]],regional_population[Regional Planning Commission],0)))</f>
        <v>7.749763473699936E-2</v>
      </c>
    </row>
    <row r="45" spans="1:5" ht="15.75" x14ac:dyDescent="0.25">
      <c r="A45" s="187" t="s">
        <v>254</v>
      </c>
      <c r="B45" s="187" t="s">
        <v>207</v>
      </c>
      <c r="C45" s="187">
        <v>1587</v>
      </c>
      <c r="D45" s="189">
        <f t="shared" si="0"/>
        <v>2.5336947879647104E-3</v>
      </c>
      <c r="E45" s="208">
        <f>town_population[[#This Row],[Pop Share of State]]/(INDEX(regional_population[Pop Share of State],MATCH(town_population[[#This Row],[Regional Planning Commission]],regional_population[Regional Planning Commission],0)))</f>
        <v>6.3591921782336913E-2</v>
      </c>
    </row>
    <row r="46" spans="1:5" ht="15.75" x14ac:dyDescent="0.25">
      <c r="A46" s="187" t="s">
        <v>255</v>
      </c>
      <c r="B46" s="187" t="s">
        <v>203</v>
      </c>
      <c r="C46" s="187">
        <v>939</v>
      </c>
      <c r="D46" s="189">
        <f t="shared" si="0"/>
        <v>1.4991426628222198E-3</v>
      </c>
      <c r="E46" s="208">
        <f>town_population[[#This Row],[Pop Share of State]]/(INDEX(regional_population[Pop Share of State],MATCH(town_population[[#This Row],[Regional Planning Commission]],regional_population[Regional Planning Commission],0)))</f>
        <v>1.4558139534883722E-2</v>
      </c>
    </row>
    <row r="47" spans="1:5" ht="15.75" x14ac:dyDescent="0.25">
      <c r="A47" s="187" t="s">
        <v>256</v>
      </c>
      <c r="B47" s="187" t="s">
        <v>233</v>
      </c>
      <c r="C47" s="187">
        <v>3810</v>
      </c>
      <c r="D47" s="189">
        <f t="shared" si="0"/>
        <v>6.0827833283840869E-3</v>
      </c>
      <c r="E47" s="208">
        <f>town_population[[#This Row],[Pop Share of State]]/(INDEX(regional_population[Pop Share of State],MATCH(town_population[[#This Row],[Regional Planning Commission]],regional_population[Regional Planning Commission],0)))</f>
        <v>2.4009679492834897E-2</v>
      </c>
    </row>
    <row r="48" spans="1:5" ht="15.75" x14ac:dyDescent="0.25">
      <c r="A48" s="187" t="s">
        <v>257</v>
      </c>
      <c r="B48" s="187" t="s">
        <v>217</v>
      </c>
      <c r="C48" s="187">
        <v>1430</v>
      </c>
      <c r="D48" s="189">
        <f t="shared" si="0"/>
        <v>2.2830394119656809E-3</v>
      </c>
      <c r="E48" s="208">
        <f>town_population[[#This Row],[Pop Share of State]]/(INDEX(regional_population[Pop Share of State],MATCH(town_population[[#This Row],[Regional Planning Commission]],regional_population[Regional Planning Commission],0)))</f>
        <v>2.5761588210920748E-2</v>
      </c>
    </row>
    <row r="49" spans="1:5" ht="15.75" x14ac:dyDescent="0.25">
      <c r="A49" s="187" t="s">
        <v>258</v>
      </c>
      <c r="B49" s="187" t="s">
        <v>207</v>
      </c>
      <c r="C49" s="187">
        <v>3128</v>
      </c>
      <c r="D49" s="189">
        <f t="shared" si="0"/>
        <v>4.9939491472927623E-3</v>
      </c>
      <c r="E49" s="208">
        <f>town_population[[#This Row],[Pop Share of State]]/(INDEX(regional_population[Pop Share of State],MATCH(town_population[[#This Row],[Regional Planning Commission]],regional_population[Regional Planning Commission],0)))</f>
        <v>0.12534059945504086</v>
      </c>
    </row>
    <row r="50" spans="1:5" ht="15.75" x14ac:dyDescent="0.25">
      <c r="A50" s="187" t="s">
        <v>259</v>
      </c>
      <c r="B50" s="187" t="s">
        <v>227</v>
      </c>
      <c r="C50" s="187">
        <v>1198</v>
      </c>
      <c r="D50" s="189">
        <f t="shared" si="0"/>
        <v>1.9126442066677524E-3</v>
      </c>
      <c r="E50" s="208">
        <f>town_population[[#This Row],[Pop Share of State]]/(INDEX(regional_population[Pop Share of State],MATCH(town_population[[#This Row],[Regional Planning Commission]],regional_population[Regional Planning Commission],0)))</f>
        <v>1.9884807542284264E-2</v>
      </c>
    </row>
    <row r="51" spans="1:5" ht="15.75" x14ac:dyDescent="0.25">
      <c r="A51" s="187" t="s">
        <v>260</v>
      </c>
      <c r="B51" s="187" t="s">
        <v>227</v>
      </c>
      <c r="C51" s="187">
        <v>2535</v>
      </c>
      <c r="D51" s="189">
        <f t="shared" si="0"/>
        <v>4.0472062303027979E-3</v>
      </c>
      <c r="E51" s="208">
        <f>town_population[[#This Row],[Pop Share of State]]/(INDEX(regional_population[Pop Share of State],MATCH(town_population[[#This Row],[Regional Planning Commission]],regional_population[Regional Planning Commission],0)))</f>
        <v>4.2076783906252593E-2</v>
      </c>
    </row>
    <row r="52" spans="1:5" ht="15.75" x14ac:dyDescent="0.25">
      <c r="A52" s="187" t="s">
        <v>261</v>
      </c>
      <c r="B52" s="187" t="s">
        <v>233</v>
      </c>
      <c r="C52" s="187">
        <v>17249</v>
      </c>
      <c r="D52" s="189">
        <f t="shared" si="0"/>
        <v>2.7538564207689534E-2</v>
      </c>
      <c r="E52" s="208">
        <f>town_population[[#This Row],[Pop Share of State]]/(INDEX(regional_population[Pop Share of State],MATCH(town_population[[#This Row],[Regional Planning Commission]],regional_population[Regional Planning Commission],0)))</f>
        <v>0.10869894004512053</v>
      </c>
    </row>
    <row r="53" spans="1:5" ht="15.75" x14ac:dyDescent="0.25">
      <c r="A53" s="187" t="s">
        <v>262</v>
      </c>
      <c r="B53" s="187" t="s">
        <v>203</v>
      </c>
      <c r="C53" s="187">
        <v>1203</v>
      </c>
      <c r="D53" s="189">
        <f t="shared" si="0"/>
        <v>1.9206268619543455E-3</v>
      </c>
      <c r="E53" s="208">
        <f>town_population[[#This Row],[Pop Share of State]]/(INDEX(regional_population[Pop Share of State],MATCH(town_population[[#This Row],[Regional Planning Commission]],regional_population[Regional Planning Commission],0)))</f>
        <v>1.8651162790697676E-2</v>
      </c>
    </row>
    <row r="54" spans="1:5" ht="15.75" x14ac:dyDescent="0.25">
      <c r="A54" s="187" t="s">
        <v>263</v>
      </c>
      <c r="B54" s="187" t="s">
        <v>217</v>
      </c>
      <c r="C54" s="187">
        <v>1302</v>
      </c>
      <c r="D54" s="189">
        <f t="shared" si="0"/>
        <v>2.0786834366288928E-3</v>
      </c>
      <c r="E54" s="208">
        <f>town_population[[#This Row],[Pop Share of State]]/(INDEX(regional_population[Pop Share of State],MATCH(town_population[[#This Row],[Regional Planning Commission]],regional_population[Regional Planning Commission],0)))</f>
        <v>2.3455655839593578E-2</v>
      </c>
    </row>
    <row r="55" spans="1:5" ht="15.75" x14ac:dyDescent="0.25">
      <c r="A55" s="187" t="s">
        <v>264</v>
      </c>
      <c r="B55" s="187" t="s">
        <v>201</v>
      </c>
      <c r="C55" s="187">
        <v>1089</v>
      </c>
      <c r="D55" s="189">
        <f t="shared" si="0"/>
        <v>1.7386223214200186E-3</v>
      </c>
      <c r="E55" s="208">
        <f>town_population[[#This Row],[Pop Share of State]]/(INDEX(regional_population[Pop Share of State],MATCH(town_population[[#This Row],[Regional Planning Commission]],regional_population[Regional Planning Commission],0)))</f>
        <v>3.0099502487562192E-2</v>
      </c>
    </row>
    <row r="56" spans="1:5" ht="15.75" x14ac:dyDescent="0.25">
      <c r="A56" s="187" t="s">
        <v>265</v>
      </c>
      <c r="B56" s="187" t="s">
        <v>203</v>
      </c>
      <c r="C56" s="187">
        <v>1123</v>
      </c>
      <c r="D56" s="189">
        <f t="shared" si="0"/>
        <v>1.7929043773688529E-3</v>
      </c>
      <c r="E56" s="208">
        <f>town_population[[#This Row],[Pop Share of State]]/(INDEX(regional_population[Pop Share of State],MATCH(town_population[[#This Row],[Regional Planning Commission]],regional_population[Regional Planning Commission],0)))</f>
        <v>1.7410852713178295E-2</v>
      </c>
    </row>
    <row r="57" spans="1:5" ht="15.75" x14ac:dyDescent="0.25">
      <c r="A57" s="187" t="s">
        <v>266</v>
      </c>
      <c r="B57" s="187" t="s">
        <v>203</v>
      </c>
      <c r="C57" s="187">
        <v>1238</v>
      </c>
      <c r="D57" s="189">
        <f t="shared" si="0"/>
        <v>1.9765054489604985E-3</v>
      </c>
      <c r="E57" s="208">
        <f>town_population[[#This Row],[Pop Share of State]]/(INDEX(regional_population[Pop Share of State],MATCH(town_population[[#This Row],[Regional Planning Commission]],regional_population[Regional Planning Commission],0)))</f>
        <v>1.9193798449612404E-2</v>
      </c>
    </row>
    <row r="58" spans="1:5" ht="15.75" x14ac:dyDescent="0.25">
      <c r="A58" s="187" t="s">
        <v>267</v>
      </c>
      <c r="B58" s="187" t="s">
        <v>227</v>
      </c>
      <c r="C58" s="187">
        <v>1366</v>
      </c>
      <c r="D58" s="189">
        <f t="shared" si="0"/>
        <v>2.1808614242972871E-3</v>
      </c>
      <c r="E58" s="208">
        <f>town_population[[#This Row],[Pop Share of State]]/(INDEX(regional_population[Pop Share of State],MATCH(town_population[[#This Row],[Regional Planning Commission]],regional_population[Regional Planning Commission],0)))</f>
        <v>2.2673328132521126E-2</v>
      </c>
    </row>
    <row r="59" spans="1:5" ht="15.75" x14ac:dyDescent="0.25">
      <c r="A59" s="187" t="s">
        <v>268</v>
      </c>
      <c r="B59" s="187" t="s">
        <v>203</v>
      </c>
      <c r="C59" s="187">
        <v>2247</v>
      </c>
      <c r="D59" s="189">
        <f t="shared" si="0"/>
        <v>3.5874052857950245E-3</v>
      </c>
      <c r="E59" s="208">
        <f>town_population[[#This Row],[Pop Share of State]]/(INDEX(regional_population[Pop Share of State],MATCH(town_population[[#This Row],[Regional Planning Commission]],regional_population[Regional Planning Commission],0)))</f>
        <v>3.4837209302325582E-2</v>
      </c>
    </row>
    <row r="60" spans="1:5" ht="15.75" x14ac:dyDescent="0.25">
      <c r="A60" s="187" t="s">
        <v>269</v>
      </c>
      <c r="B60" s="187" t="s">
        <v>203</v>
      </c>
      <c r="C60" s="187">
        <v>4561</v>
      </c>
      <c r="D60" s="189">
        <f t="shared" si="0"/>
        <v>7.2817781524303991E-3</v>
      </c>
      <c r="E60" s="208">
        <f>town_population[[#This Row],[Pop Share of State]]/(INDEX(regional_population[Pop Share of State],MATCH(town_population[[#This Row],[Regional Planning Commission]],regional_population[Regional Planning Commission],0)))</f>
        <v>7.0713178294573645E-2</v>
      </c>
    </row>
    <row r="61" spans="1:5" ht="15.75" x14ac:dyDescent="0.25">
      <c r="A61" s="187" t="s">
        <v>270</v>
      </c>
      <c r="B61" s="187" t="s">
        <v>209</v>
      </c>
      <c r="C61" s="187">
        <v>2118</v>
      </c>
      <c r="D61" s="189">
        <f t="shared" si="0"/>
        <v>3.3814527794009176E-3</v>
      </c>
      <c r="E61" s="208">
        <f>town_population[[#This Row],[Pop Share of State]]/(INDEX(regional_population[Pop Share of State],MATCH(town_population[[#This Row],[Regional Planning Commission]],regional_population[Regional Planning Commission],0)))</f>
        <v>6.0151657152594351E-2</v>
      </c>
    </row>
    <row r="62" spans="1:5" ht="15.75" x14ac:dyDescent="0.25">
      <c r="A62" s="187" t="s">
        <v>271</v>
      </c>
      <c r="B62" s="187" t="s">
        <v>211</v>
      </c>
      <c r="C62" s="187">
        <v>1335</v>
      </c>
      <c r="D62" s="189">
        <f t="shared" si="0"/>
        <v>2.1313689615204087E-3</v>
      </c>
      <c r="E62" s="208">
        <f>town_population[[#This Row],[Pop Share of State]]/(INDEX(regional_population[Pop Share of State],MATCH(town_population[[#This Row],[Regional Planning Commission]],regional_population[Regional Planning Commission],0)))</f>
        <v>2.8911122661122664E-2</v>
      </c>
    </row>
    <row r="63" spans="1:5" ht="15.75" x14ac:dyDescent="0.25">
      <c r="A63" s="187" t="s">
        <v>272</v>
      </c>
      <c r="B63" s="187" t="s">
        <v>211</v>
      </c>
      <c r="C63" s="187">
        <v>1933</v>
      </c>
      <c r="D63" s="189">
        <f t="shared" si="0"/>
        <v>3.086094533796966E-3</v>
      </c>
      <c r="E63" s="208">
        <f>town_population[[#This Row],[Pop Share of State]]/(INDEX(regional_population[Pop Share of State],MATCH(town_population[[#This Row],[Regional Planning Commission]],regional_population[Regional Planning Commission],0)))</f>
        <v>4.1861573111573111E-2</v>
      </c>
    </row>
    <row r="64" spans="1:5" ht="15.75" x14ac:dyDescent="0.25">
      <c r="A64" s="187" t="s">
        <v>273</v>
      </c>
      <c r="B64" s="187" t="s">
        <v>220</v>
      </c>
      <c r="C64" s="187">
        <v>1409</v>
      </c>
      <c r="D64" s="189">
        <f t="shared" si="0"/>
        <v>2.2495122597619892E-3</v>
      </c>
      <c r="E64" s="208">
        <f>town_population[[#This Row],[Pop Share of State]]/(INDEX(regional_population[Pop Share of State],MATCH(town_population[[#This Row],[Regional Planning Commission]],regional_population[Regional Planning Commission],0)))</f>
        <v>2.1728737759272112E-2</v>
      </c>
    </row>
    <row r="65" spans="1:5" ht="15.75" x14ac:dyDescent="0.25">
      <c r="A65" s="187" t="s">
        <v>274</v>
      </c>
      <c r="B65" s="187" t="s">
        <v>203</v>
      </c>
      <c r="C65" s="187">
        <v>338</v>
      </c>
      <c r="D65" s="189">
        <f t="shared" si="0"/>
        <v>5.3962749737370645E-4</v>
      </c>
      <c r="E65" s="208">
        <f>town_population[[#This Row],[Pop Share of State]]/(INDEX(regional_population[Pop Share of State],MATCH(town_population[[#This Row],[Regional Planning Commission]],regional_population[Regional Planning Commission],0)))</f>
        <v>5.2403100775193804E-3</v>
      </c>
    </row>
    <row r="66" spans="1:5" ht="15.75" x14ac:dyDescent="0.25">
      <c r="A66" s="187" t="s">
        <v>275</v>
      </c>
      <c r="B66" s="187" t="s">
        <v>220</v>
      </c>
      <c r="C66" s="187">
        <v>2601</v>
      </c>
      <c r="D66" s="189">
        <f t="shared" ref="D66:D129" si="1">C66/SUM($C$2:$C$256)</f>
        <v>4.1525772800858297E-3</v>
      </c>
      <c r="E66" s="208">
        <f>town_population[[#This Row],[Pop Share of State]]/(INDEX(regional_population[Pop Share of State],MATCH(town_population[[#This Row],[Regional Planning Commission]],regional_population[Regional Planning Commission],0)))</f>
        <v>4.0111034004163777E-2</v>
      </c>
    </row>
    <row r="67" spans="1:5" ht="15.75" x14ac:dyDescent="0.25">
      <c r="A67" s="187" t="s">
        <v>276</v>
      </c>
      <c r="B67" s="187" t="s">
        <v>224</v>
      </c>
      <c r="C67" s="187">
        <v>1353</v>
      </c>
      <c r="D67" s="189">
        <f t="shared" si="1"/>
        <v>2.1601065205521441E-3</v>
      </c>
      <c r="E67" s="208">
        <f>town_population[[#This Row],[Pop Share of State]]/(INDEX(regional_population[Pop Share of State],MATCH(town_population[[#This Row],[Regional Planning Commission]],regional_population[Regional Planning Commission],0)))</f>
        <v>5.4462021494988515E-2</v>
      </c>
    </row>
    <row r="68" spans="1:5" ht="15.75" x14ac:dyDescent="0.25">
      <c r="A68" s="187" t="s">
        <v>277</v>
      </c>
      <c r="B68" s="187" t="s">
        <v>224</v>
      </c>
      <c r="C68" s="187">
        <v>946</v>
      </c>
      <c r="D68" s="189">
        <f t="shared" si="1"/>
        <v>1.5103183802234505E-3</v>
      </c>
      <c r="E68" s="208">
        <f>town_population[[#This Row],[Pop Share of State]]/(INDEX(regional_population[Pop Share of State],MATCH(town_population[[#This Row],[Regional Planning Commission]],regional_population[Regional Planning Commission],0)))</f>
        <v>3.8079136980235878E-2</v>
      </c>
    </row>
    <row r="69" spans="1:5" ht="15.75" x14ac:dyDescent="0.25">
      <c r="A69" s="187" t="s">
        <v>278</v>
      </c>
      <c r="B69" s="187" t="s">
        <v>205</v>
      </c>
      <c r="C69" s="187">
        <v>2771</v>
      </c>
      <c r="D69" s="189">
        <f t="shared" si="1"/>
        <v>4.4239875598300017E-3</v>
      </c>
      <c r="E69" s="208">
        <f>town_population[[#This Row],[Pop Share of State]]/(INDEX(regional_population[Pop Share of State],MATCH(town_population[[#This Row],[Regional Planning Commission]],regional_population[Regional Planning Commission],0)))</f>
        <v>5.0194728738338919E-2</v>
      </c>
    </row>
    <row r="70" spans="1:5" ht="15.75" x14ac:dyDescent="0.25">
      <c r="A70" s="187" t="s">
        <v>279</v>
      </c>
      <c r="B70" s="187" t="s">
        <v>233</v>
      </c>
      <c r="C70" s="187">
        <v>20172</v>
      </c>
      <c r="D70" s="189">
        <f t="shared" si="1"/>
        <v>3.2205224488231966E-2</v>
      </c>
      <c r="E70" s="208">
        <f>town_population[[#This Row],[Pop Share of State]]/(INDEX(regional_population[Pop Share of State],MATCH(town_population[[#This Row],[Regional Planning Commission]],regional_population[Regional Planning Commission],0)))</f>
        <v>0.12711896449592272</v>
      </c>
    </row>
    <row r="71" spans="1:5" ht="15.75" x14ac:dyDescent="0.25">
      <c r="A71" s="187" t="s">
        <v>280</v>
      </c>
      <c r="B71" s="187" t="s">
        <v>227</v>
      </c>
      <c r="C71" s="187">
        <v>2694</v>
      </c>
      <c r="D71" s="189">
        <f t="shared" si="1"/>
        <v>4.3010546684164649E-3</v>
      </c>
      <c r="E71" s="208">
        <f>town_population[[#This Row],[Pop Share of State]]/(INDEX(regional_population[Pop Share of State],MATCH(town_population[[#This Row],[Regional Planning Commission]],regional_population[Regional Planning Commission],0)))</f>
        <v>4.4715919464869622E-2</v>
      </c>
    </row>
    <row r="72" spans="1:5" ht="15.75" x14ac:dyDescent="0.25">
      <c r="A72" s="187" t="s">
        <v>281</v>
      </c>
      <c r="B72" s="187" t="s">
        <v>205</v>
      </c>
      <c r="C72" s="187">
        <v>4397</v>
      </c>
      <c r="D72" s="189">
        <f t="shared" si="1"/>
        <v>7.0199470590301396E-3</v>
      </c>
      <c r="E72" s="208">
        <f>town_population[[#This Row],[Pop Share of State]]/(INDEX(regional_population[Pop Share of State],MATCH(town_population[[#This Row],[Regional Planning Commission]],regional_population[Regional Planning Commission],0)))</f>
        <v>7.964858255592791E-2</v>
      </c>
    </row>
    <row r="73" spans="1:5" ht="15.75" x14ac:dyDescent="0.25">
      <c r="A73" s="187" t="s">
        <v>282</v>
      </c>
      <c r="B73" s="187" t="s">
        <v>205</v>
      </c>
      <c r="C73" s="187">
        <v>1856</v>
      </c>
      <c r="D73" s="189">
        <f t="shared" si="1"/>
        <v>2.9631616423834292E-3</v>
      </c>
      <c r="E73" s="208">
        <f>town_population[[#This Row],[Pop Share of State]]/(INDEX(regional_population[Pop Share of State],MATCH(town_population[[#This Row],[Regional Planning Commission]],regional_population[Regional Planning Commission],0)))</f>
        <v>3.3620143102979803E-2</v>
      </c>
    </row>
    <row r="74" spans="1:5" ht="15.75" x14ac:dyDescent="0.25">
      <c r="A74" s="187" t="s">
        <v>283</v>
      </c>
      <c r="B74" s="187" t="s">
        <v>217</v>
      </c>
      <c r="C74" s="187">
        <v>1029</v>
      </c>
      <c r="D74" s="189">
        <f t="shared" si="1"/>
        <v>1.6428304579808992E-3</v>
      </c>
      <c r="E74" s="208">
        <f>town_population[[#This Row],[Pop Share of State]]/(INDEX(regional_population[Pop Share of State],MATCH(town_population[[#This Row],[Regional Planning Commission]],regional_population[Regional Planning Commission],0)))</f>
        <v>1.8537534453872344E-2</v>
      </c>
    </row>
    <row r="75" spans="1:5" ht="15.75" x14ac:dyDescent="0.25">
      <c r="A75" s="187" t="s">
        <v>284</v>
      </c>
      <c r="B75" s="187" t="s">
        <v>220</v>
      </c>
      <c r="C75" s="187">
        <v>1314</v>
      </c>
      <c r="D75" s="189">
        <f t="shared" si="1"/>
        <v>2.0978418093167165E-3</v>
      </c>
      <c r="E75" s="208">
        <f>town_population[[#This Row],[Pop Share of State]]/(INDEX(regional_population[Pop Share of State],MATCH(town_population[[#This Row],[Regional Planning Commission]],regional_population[Regional Planning Commission],0)))</f>
        <v>2.0263705759888964E-2</v>
      </c>
    </row>
    <row r="76" spans="1:5" ht="15.75" x14ac:dyDescent="0.25">
      <c r="A76" s="187" t="s">
        <v>285</v>
      </c>
      <c r="B76" s="187" t="s">
        <v>203</v>
      </c>
      <c r="C76" s="187">
        <v>28</v>
      </c>
      <c r="D76" s="189">
        <f t="shared" si="1"/>
        <v>4.4702869604922427E-5</v>
      </c>
      <c r="E76" s="208">
        <f>town_population[[#This Row],[Pop Share of State]]/(INDEX(regional_population[Pop Share of State],MATCH(town_population[[#This Row],[Regional Planning Commission]],regional_population[Regional Planning Commission],0)))</f>
        <v>4.3410852713178299E-4</v>
      </c>
    </row>
    <row r="77" spans="1:5" ht="15.75" x14ac:dyDescent="0.25">
      <c r="A77" s="187" t="s">
        <v>286</v>
      </c>
      <c r="B77" s="187" t="s">
        <v>201</v>
      </c>
      <c r="C77" s="187">
        <v>2779</v>
      </c>
      <c r="D77" s="189">
        <f t="shared" si="1"/>
        <v>4.4367598082885509E-3</v>
      </c>
      <c r="E77" s="208">
        <f>town_population[[#This Row],[Pop Share of State]]/(INDEX(regional_population[Pop Share of State],MATCH(town_population[[#This Row],[Regional Planning Commission]],regional_population[Regional Planning Commission],0)))</f>
        <v>7.6810392482034279E-2</v>
      </c>
    </row>
    <row r="78" spans="1:5" ht="15.75" x14ac:dyDescent="0.25">
      <c r="A78" s="187" t="s">
        <v>287</v>
      </c>
      <c r="B78" s="187" t="s">
        <v>205</v>
      </c>
      <c r="C78" s="187">
        <v>1244</v>
      </c>
      <c r="D78" s="189">
        <f t="shared" si="1"/>
        <v>1.9860846353044106E-3</v>
      </c>
      <c r="E78" s="208">
        <f>town_population[[#This Row],[Pop Share of State]]/(INDEX(regional_population[Pop Share of State],MATCH(town_population[[#This Row],[Regional Planning Commission]],regional_population[Regional Planning Commission],0)))</f>
        <v>2.2534190743592065E-2</v>
      </c>
    </row>
    <row r="79" spans="1:5" ht="15.75" x14ac:dyDescent="0.25">
      <c r="A79" s="187" t="s">
        <v>288</v>
      </c>
      <c r="B79" s="187" t="s">
        <v>205</v>
      </c>
      <c r="C79" s="187">
        <v>1240</v>
      </c>
      <c r="D79" s="189">
        <f t="shared" si="1"/>
        <v>1.979698511075136E-3</v>
      </c>
      <c r="E79" s="208">
        <f>town_population[[#This Row],[Pop Share of State]]/(INDEX(regional_population[Pop Share of State],MATCH(town_population[[#This Row],[Regional Planning Commission]],regional_population[Regional Planning Commission],0)))</f>
        <v>2.2461733538628747E-2</v>
      </c>
    </row>
    <row r="80" spans="1:5" ht="15.75" x14ac:dyDescent="0.25">
      <c r="A80" s="187" t="s">
        <v>289</v>
      </c>
      <c r="B80" s="187" t="s">
        <v>205</v>
      </c>
      <c r="C80" s="187">
        <v>4610</v>
      </c>
      <c r="D80" s="189">
        <f t="shared" si="1"/>
        <v>7.3600081742390133E-3</v>
      </c>
      <c r="E80" s="208">
        <f>town_population[[#This Row],[Pop Share of State]]/(INDEX(regional_population[Pop Share of State],MATCH(town_population[[#This Row],[Regional Planning Commission]],regional_population[Regional Planning Commission],0)))</f>
        <v>8.350692872022461E-2</v>
      </c>
    </row>
    <row r="81" spans="1:5" ht="15.75" x14ac:dyDescent="0.25">
      <c r="A81" s="187" t="s">
        <v>290</v>
      </c>
      <c r="B81" s="187" t="s">
        <v>209</v>
      </c>
      <c r="C81" s="187">
        <v>9</v>
      </c>
      <c r="D81" s="189">
        <f t="shared" si="1"/>
        <v>1.4368779515867922E-5</v>
      </c>
      <c r="E81" s="208">
        <f>town_population[[#This Row],[Pop Share of State]]/(INDEX(regional_population[Pop Share of State],MATCH(town_population[[#This Row],[Regional Planning Commission]],regional_population[Regional Planning Commission],0)))</f>
        <v>2.5560194257476351E-4</v>
      </c>
    </row>
    <row r="82" spans="1:5" ht="15.75" x14ac:dyDescent="0.25">
      <c r="A82" s="187" t="s">
        <v>291</v>
      </c>
      <c r="B82" s="187" t="s">
        <v>203</v>
      </c>
      <c r="C82" s="187">
        <v>1072</v>
      </c>
      <c r="D82" s="189">
        <f t="shared" si="1"/>
        <v>1.7114812934456013E-3</v>
      </c>
      <c r="E82" s="208">
        <f>town_population[[#This Row],[Pop Share of State]]/(INDEX(regional_population[Pop Share of State],MATCH(town_population[[#This Row],[Regional Planning Commission]],regional_population[Regional Planning Commission],0)))</f>
        <v>1.6620155038759691E-2</v>
      </c>
    </row>
    <row r="83" spans="1:5" ht="15.75" x14ac:dyDescent="0.25">
      <c r="A83" s="187" t="s">
        <v>292</v>
      </c>
      <c r="B83" s="187" t="s">
        <v>201</v>
      </c>
      <c r="C83" s="187">
        <v>135</v>
      </c>
      <c r="D83" s="189">
        <f t="shared" si="1"/>
        <v>2.1553169273801884E-4</v>
      </c>
      <c r="E83" s="208">
        <f>town_population[[#This Row],[Pop Share of State]]/(INDEX(regional_population[Pop Share of State],MATCH(town_population[[#This Row],[Regional Planning Commission]],regional_population[Regional Planning Commission],0)))</f>
        <v>3.7313432835820899E-3</v>
      </c>
    </row>
    <row r="84" spans="1:5" ht="15.75" x14ac:dyDescent="0.25">
      <c r="A84" s="187" t="s">
        <v>293</v>
      </c>
      <c r="B84" s="187" t="s">
        <v>211</v>
      </c>
      <c r="C84" s="187">
        <v>609</v>
      </c>
      <c r="D84" s="189">
        <f t="shared" si="1"/>
        <v>9.7228741390706277E-4</v>
      </c>
      <c r="E84" s="208">
        <f>town_population[[#This Row],[Pop Share of State]]/(INDEX(regional_population[Pop Share of State],MATCH(town_population[[#This Row],[Regional Planning Commission]],regional_population[Regional Planning Commission],0)))</f>
        <v>1.3188669438669439E-2</v>
      </c>
    </row>
    <row r="85" spans="1:5" ht="15.75" x14ac:dyDescent="0.25">
      <c r="A85" s="187" t="s">
        <v>294</v>
      </c>
      <c r="B85" s="187" t="s">
        <v>203</v>
      </c>
      <c r="C85" s="187">
        <v>85</v>
      </c>
      <c r="D85" s="189">
        <f t="shared" si="1"/>
        <v>1.3570513987208593E-4</v>
      </c>
      <c r="E85" s="208">
        <f>town_population[[#This Row],[Pop Share of State]]/(INDEX(regional_population[Pop Share of State],MATCH(town_population[[#This Row],[Regional Planning Commission]],regional_population[Regional Planning Commission],0)))</f>
        <v>1.3178294573643412E-3</v>
      </c>
    </row>
    <row r="86" spans="1:5" ht="15.75" x14ac:dyDescent="0.25">
      <c r="A86" s="187" t="s">
        <v>295</v>
      </c>
      <c r="B86" s="187" t="s">
        <v>205</v>
      </c>
      <c r="C86" s="187">
        <v>2264</v>
      </c>
      <c r="D86" s="189">
        <f t="shared" si="1"/>
        <v>3.6145463137694416E-3</v>
      </c>
      <c r="E86" s="208">
        <f>town_population[[#This Row],[Pop Share of State]]/(INDEX(regional_population[Pop Share of State],MATCH(town_population[[#This Row],[Regional Planning Commission]],regional_population[Regional Planning Commission],0)))</f>
        <v>4.1010778009238288E-2</v>
      </c>
    </row>
    <row r="87" spans="1:5" ht="15.75" x14ac:dyDescent="0.25">
      <c r="A87" s="187" t="s">
        <v>296</v>
      </c>
      <c r="B87" s="187" t="s">
        <v>217</v>
      </c>
      <c r="C87" s="187">
        <v>308</v>
      </c>
      <c r="D87" s="189">
        <f t="shared" si="1"/>
        <v>4.917315656541467E-4</v>
      </c>
      <c r="E87" s="208">
        <f>town_population[[#This Row],[Pop Share of State]]/(INDEX(regional_population[Pop Share of State],MATCH(town_population[[#This Row],[Regional Planning Commission]],regional_population[Regional Planning Commission],0)))</f>
        <v>5.5486497685060081E-3</v>
      </c>
    </row>
    <row r="88" spans="1:5" ht="15.75" x14ac:dyDescent="0.25">
      <c r="A88" s="187" t="s">
        <v>297</v>
      </c>
      <c r="B88" s="187" t="s">
        <v>203</v>
      </c>
      <c r="C88" s="187">
        <v>723</v>
      </c>
      <c r="D88" s="189">
        <f t="shared" si="1"/>
        <v>1.1542919544413899E-3</v>
      </c>
      <c r="E88" s="208">
        <f>town_population[[#This Row],[Pop Share of State]]/(INDEX(regional_population[Pop Share of State],MATCH(town_population[[#This Row],[Regional Planning Commission]],regional_population[Regional Planning Commission],0)))</f>
        <v>1.1209302325581398E-2</v>
      </c>
    </row>
    <row r="89" spans="1:5" ht="15.75" x14ac:dyDescent="0.25">
      <c r="A89" s="187" t="s">
        <v>298</v>
      </c>
      <c r="B89" s="187" t="s">
        <v>203</v>
      </c>
      <c r="C89" s="187">
        <v>1013</v>
      </c>
      <c r="D89" s="189">
        <f t="shared" si="1"/>
        <v>1.6172859610638006E-3</v>
      </c>
      <c r="E89" s="208">
        <f>town_population[[#This Row],[Pop Share of State]]/(INDEX(regional_population[Pop Share of State],MATCH(town_population[[#This Row],[Regional Planning Commission]],regional_population[Regional Planning Commission],0)))</f>
        <v>1.5705426356589149E-2</v>
      </c>
    </row>
    <row r="90" spans="1:5" ht="15.75" x14ac:dyDescent="0.25">
      <c r="A90" s="187" t="s">
        <v>299</v>
      </c>
      <c r="B90" s="187" t="s">
        <v>203</v>
      </c>
      <c r="C90" s="187">
        <v>209</v>
      </c>
      <c r="D90" s="189">
        <f t="shared" si="1"/>
        <v>3.3367499097959955E-4</v>
      </c>
      <c r="E90" s="208">
        <f>town_population[[#This Row],[Pop Share of State]]/(INDEX(regional_population[Pop Share of State],MATCH(town_population[[#This Row],[Regional Planning Commission]],regional_population[Regional Planning Commission],0)))</f>
        <v>3.2403100775193804E-3</v>
      </c>
    </row>
    <row r="91" spans="1:5" ht="15.75" x14ac:dyDescent="0.25">
      <c r="A91" s="187" t="s">
        <v>300</v>
      </c>
      <c r="B91" s="187" t="s">
        <v>211</v>
      </c>
      <c r="C91" s="187">
        <v>2151</v>
      </c>
      <c r="D91" s="189">
        <f t="shared" si="1"/>
        <v>3.4341383042924335E-3</v>
      </c>
      <c r="E91" s="208">
        <f>town_population[[#This Row],[Pop Share of State]]/(INDEX(regional_population[Pop Share of State],MATCH(town_population[[#This Row],[Regional Planning Commission]],regional_population[Regional Planning Commission],0)))</f>
        <v>4.6582640332640333E-2</v>
      </c>
    </row>
    <row r="92" spans="1:5" ht="15.75" x14ac:dyDescent="0.25">
      <c r="A92" s="187" t="s">
        <v>301</v>
      </c>
      <c r="B92" s="187" t="s">
        <v>211</v>
      </c>
      <c r="C92" s="187">
        <v>692</v>
      </c>
      <c r="D92" s="189">
        <f t="shared" si="1"/>
        <v>1.1047994916645112E-3</v>
      </c>
      <c r="E92" s="208">
        <f>town_population[[#This Row],[Pop Share of State]]/(INDEX(regional_population[Pop Share of State],MATCH(town_population[[#This Row],[Regional Planning Commission]],regional_population[Regional Planning Commission],0)))</f>
        <v>1.4986139986139985E-2</v>
      </c>
    </row>
    <row r="93" spans="1:5" ht="15.75" x14ac:dyDescent="0.25">
      <c r="A93" s="187" t="s">
        <v>302</v>
      </c>
      <c r="B93" s="187" t="s">
        <v>217</v>
      </c>
      <c r="C93" s="187">
        <v>395</v>
      </c>
      <c r="D93" s="189">
        <f t="shared" si="1"/>
        <v>6.3062976764086988E-4</v>
      </c>
      <c r="E93" s="208">
        <f>town_population[[#This Row],[Pop Share of State]]/(INDEX(regional_population[Pop Share of State],MATCH(town_population[[#This Row],[Regional Planning Commission]],regional_population[Regional Planning Commission],0)))</f>
        <v>7.1159631771424443E-3</v>
      </c>
    </row>
    <row r="94" spans="1:5" ht="15.75" x14ac:dyDescent="0.25">
      <c r="A94" s="187" t="s">
        <v>303</v>
      </c>
      <c r="B94" s="187" t="s">
        <v>203</v>
      </c>
      <c r="C94" s="187">
        <v>2976</v>
      </c>
      <c r="D94" s="189">
        <f t="shared" si="1"/>
        <v>4.7512764265803262E-3</v>
      </c>
      <c r="E94" s="208">
        <f>town_population[[#This Row],[Pop Share of State]]/(INDEX(regional_population[Pop Share of State],MATCH(town_population[[#This Row],[Regional Planning Commission]],regional_population[Regional Planning Commission],0)))</f>
        <v>4.6139534883720933E-2</v>
      </c>
    </row>
    <row r="95" spans="1:5" ht="15.75" x14ac:dyDescent="0.25">
      <c r="A95" s="187" t="s">
        <v>304</v>
      </c>
      <c r="B95" s="187" t="s">
        <v>217</v>
      </c>
      <c r="C95" s="187">
        <v>9869</v>
      </c>
      <c r="D95" s="189">
        <f t="shared" si="1"/>
        <v>1.5756165004677837E-2</v>
      </c>
      <c r="E95" s="208">
        <f>town_population[[#This Row],[Pop Share of State]]/(INDEX(regional_population[Pop Share of State],MATCH(town_population[[#This Row],[Regional Planning Commission]],regional_population[Regional Planning Commission],0)))</f>
        <v>0.17779098884865516</v>
      </c>
    </row>
    <row r="96" spans="1:5" ht="15.75" x14ac:dyDescent="0.25">
      <c r="A96" s="187" t="s">
        <v>305</v>
      </c>
      <c r="B96" s="187" t="s">
        <v>217</v>
      </c>
      <c r="C96" s="187">
        <v>3397</v>
      </c>
      <c r="D96" s="189">
        <f t="shared" si="1"/>
        <v>5.4234160017114811E-3</v>
      </c>
      <c r="E96" s="208">
        <f>town_population[[#This Row],[Pop Share of State]]/(INDEX(regional_population[Pop Share of State],MATCH(town_population[[#This Row],[Regional Planning Commission]],regional_population[Regional Planning Commission],0)))</f>
        <v>6.1197283323425021E-2</v>
      </c>
    </row>
    <row r="97" spans="1:5" ht="15.75" x14ac:dyDescent="0.25">
      <c r="A97" s="187" t="s">
        <v>306</v>
      </c>
      <c r="B97" s="187" t="s">
        <v>205</v>
      </c>
      <c r="C97" s="187">
        <v>3576</v>
      </c>
      <c r="D97" s="189">
        <f t="shared" si="1"/>
        <v>5.7091950609715215E-3</v>
      </c>
      <c r="E97" s="208">
        <f>town_population[[#This Row],[Pop Share of State]]/(INDEX(regional_population[Pop Share of State],MATCH(town_population[[#This Row],[Regional Planning Commission]],regional_population[Regional Planning Commission],0)))</f>
        <v>6.4776741237206781E-2</v>
      </c>
    </row>
    <row r="98" spans="1:5" ht="15.75" x14ac:dyDescent="0.25">
      <c r="A98" s="187" t="s">
        <v>307</v>
      </c>
      <c r="B98" s="187" t="s">
        <v>233</v>
      </c>
      <c r="C98" s="187">
        <v>4451</v>
      </c>
      <c r="D98" s="189">
        <f t="shared" si="1"/>
        <v>7.1061597361253472E-3</v>
      </c>
      <c r="E98" s="208">
        <f>town_population[[#This Row],[Pop Share of State]]/(INDEX(regional_population[Pop Share of State],MATCH(town_population[[#This Row],[Regional Planning Commission]],regional_population[Regional Planning Commission],0)))</f>
        <v>2.8049103260527071E-2</v>
      </c>
    </row>
    <row r="99" spans="1:5" ht="15.75" x14ac:dyDescent="0.25">
      <c r="A99" s="187" t="s">
        <v>308</v>
      </c>
      <c r="B99" s="187" t="s">
        <v>203</v>
      </c>
      <c r="C99" s="187">
        <v>689</v>
      </c>
      <c r="D99" s="189">
        <f t="shared" si="1"/>
        <v>1.1000098984925554E-3</v>
      </c>
      <c r="E99" s="208">
        <f>town_population[[#This Row],[Pop Share of State]]/(INDEX(regional_population[Pop Share of State],MATCH(town_population[[#This Row],[Regional Planning Commission]],regional_population[Regional Planning Commission],0)))</f>
        <v>1.068217054263566E-2</v>
      </c>
    </row>
    <row r="100" spans="1:5" ht="15.75" x14ac:dyDescent="0.25">
      <c r="A100" s="187" t="s">
        <v>309</v>
      </c>
      <c r="B100" s="187" t="s">
        <v>227</v>
      </c>
      <c r="C100" s="187">
        <v>624</v>
      </c>
      <c r="D100" s="189">
        <f t="shared" si="1"/>
        <v>9.9623537976684258E-4</v>
      </c>
      <c r="E100" s="208">
        <f>town_population[[#This Row],[Pop Share of State]]/(INDEX(regional_population[Pop Share of State],MATCH(town_population[[#This Row],[Regional Planning Commission]],regional_population[Regional Planning Commission],0)))</f>
        <v>1.0357362192308331E-2</v>
      </c>
    </row>
    <row r="101" spans="1:5" ht="15.75" x14ac:dyDescent="0.25">
      <c r="A101" s="187" t="s">
        <v>310</v>
      </c>
      <c r="B101" s="187" t="s">
        <v>233</v>
      </c>
      <c r="C101" s="187">
        <v>1924</v>
      </c>
      <c r="D101" s="189">
        <f t="shared" si="1"/>
        <v>3.0717257542810981E-3</v>
      </c>
      <c r="E101" s="208">
        <f>town_population[[#This Row],[Pop Share of State]]/(INDEX(regional_population[Pop Share of State],MATCH(town_population[[#This Row],[Regional Planning Commission]],regional_population[Regional Planning Commission],0)))</f>
        <v>1.2124573056224238E-2</v>
      </c>
    </row>
    <row r="102" spans="1:5" ht="15.75" x14ac:dyDescent="0.25">
      <c r="A102" s="187" t="s">
        <v>311</v>
      </c>
      <c r="B102" s="187" t="s">
        <v>224</v>
      </c>
      <c r="C102" s="187">
        <v>3011</v>
      </c>
      <c r="D102" s="189">
        <f t="shared" si="1"/>
        <v>4.8071550135864796E-3</v>
      </c>
      <c r="E102" s="208">
        <f>town_population[[#This Row],[Pop Share of State]]/(INDEX(regional_population[Pop Share of State],MATCH(town_population[[#This Row],[Regional Planning Commission]],regional_population[Regional Planning Commission],0)))</f>
        <v>0.12120114317916515</v>
      </c>
    </row>
    <row r="103" spans="1:5" ht="15.75" x14ac:dyDescent="0.25">
      <c r="A103" s="187" t="s">
        <v>312</v>
      </c>
      <c r="B103" s="187" t="s">
        <v>227</v>
      </c>
      <c r="C103" s="187">
        <v>441</v>
      </c>
      <c r="D103" s="189">
        <f t="shared" si="1"/>
        <v>7.0407019627752819E-4</v>
      </c>
      <c r="E103" s="208">
        <f>town_population[[#This Row],[Pop Share of State]]/(INDEX(regional_population[Pop Share of State],MATCH(town_population[[#This Row],[Regional Planning Commission]],regional_population[Regional Planning Commission],0)))</f>
        <v>7.3198665493717533E-3</v>
      </c>
    </row>
    <row r="104" spans="1:5" ht="15.75" x14ac:dyDescent="0.25">
      <c r="A104" s="187" t="s">
        <v>313</v>
      </c>
      <c r="B104" s="187" t="s">
        <v>203</v>
      </c>
      <c r="C104" s="187">
        <v>1195</v>
      </c>
      <c r="D104" s="189">
        <f t="shared" si="1"/>
        <v>1.9078546134957963E-3</v>
      </c>
      <c r="E104" s="208">
        <f>town_population[[#This Row],[Pop Share of State]]/(INDEX(regional_population[Pop Share of State],MATCH(town_population[[#This Row],[Regional Planning Commission]],regional_population[Regional Planning Commission],0)))</f>
        <v>1.8527131782945738E-2</v>
      </c>
    </row>
    <row r="105" spans="1:5" ht="15.75" x14ac:dyDescent="0.25">
      <c r="A105" s="187" t="s">
        <v>314</v>
      </c>
      <c r="B105" s="187" t="s">
        <v>205</v>
      </c>
      <c r="C105" s="187">
        <v>577</v>
      </c>
      <c r="D105" s="189">
        <f t="shared" si="1"/>
        <v>9.2119842007286562E-4</v>
      </c>
      <c r="E105" s="208">
        <f>town_population[[#This Row],[Pop Share of State]]/(INDEX(regional_population[Pop Share of State],MATCH(town_population[[#This Row],[Regional Planning Commission]],regional_population[Regional Planning Commission],0)))</f>
        <v>1.0451951815958699E-2</v>
      </c>
    </row>
    <row r="106" spans="1:5" ht="15.75" x14ac:dyDescent="0.25">
      <c r="A106" s="187" t="s">
        <v>315</v>
      </c>
      <c r="B106" s="187" t="s">
        <v>211</v>
      </c>
      <c r="C106" s="187">
        <v>899</v>
      </c>
      <c r="D106" s="189">
        <f t="shared" si="1"/>
        <v>1.4352814205294735E-3</v>
      </c>
      <c r="E106" s="208">
        <f>town_population[[#This Row],[Pop Share of State]]/(INDEX(regional_population[Pop Share of State],MATCH(town_population[[#This Row],[Regional Planning Commission]],regional_population[Regional Planning Commission],0)))</f>
        <v>1.9468988218988219E-2</v>
      </c>
    </row>
    <row r="107" spans="1:5" ht="15.75" x14ac:dyDescent="0.25">
      <c r="A107" s="187" t="s">
        <v>316</v>
      </c>
      <c r="B107" s="187" t="s">
        <v>203</v>
      </c>
      <c r="C107" s="187">
        <v>818</v>
      </c>
      <c r="D107" s="189">
        <f t="shared" si="1"/>
        <v>1.3059624048866623E-3</v>
      </c>
      <c r="E107" s="208">
        <f>town_population[[#This Row],[Pop Share of State]]/(INDEX(regional_population[Pop Share of State],MATCH(town_population[[#This Row],[Regional Planning Commission]],regional_population[Regional Planning Commission],0)))</f>
        <v>1.268217054263566E-2</v>
      </c>
    </row>
    <row r="108" spans="1:5" ht="15.75" x14ac:dyDescent="0.25">
      <c r="A108" s="187" t="s">
        <v>317</v>
      </c>
      <c r="B108" s="187" t="s">
        <v>233</v>
      </c>
      <c r="C108" s="187">
        <v>5040</v>
      </c>
      <c r="D108" s="189">
        <f t="shared" si="1"/>
        <v>8.0465165288860357E-3</v>
      </c>
      <c r="E108" s="208">
        <f>town_population[[#This Row],[Pop Share of State]]/(INDEX(regional_population[Pop Share of State],MATCH(town_population[[#This Row],[Regional Planning Commission]],regional_population[Regional Planning Commission],0)))</f>
        <v>3.1760835864537505E-2</v>
      </c>
    </row>
    <row r="109" spans="1:5" ht="15.75" x14ac:dyDescent="0.25">
      <c r="A109" s="187" t="s">
        <v>318</v>
      </c>
      <c r="B109" s="187" t="s">
        <v>224</v>
      </c>
      <c r="C109" s="187">
        <v>3491</v>
      </c>
      <c r="D109" s="189">
        <f t="shared" si="1"/>
        <v>5.5734899210994355E-3</v>
      </c>
      <c r="E109" s="208">
        <f>town_population[[#This Row],[Pop Share of State]]/(INDEX(regional_population[Pop Share of State],MATCH(town_population[[#This Row],[Regional Planning Commission]],regional_population[Regional Planning Commission],0)))</f>
        <v>0.14052248118182184</v>
      </c>
    </row>
    <row r="110" spans="1:5" ht="15.75" x14ac:dyDescent="0.25">
      <c r="A110" s="187" t="s">
        <v>319</v>
      </c>
      <c r="B110" s="187" t="s">
        <v>227</v>
      </c>
      <c r="C110" s="187">
        <v>896</v>
      </c>
      <c r="D110" s="189">
        <f t="shared" si="1"/>
        <v>1.4304918273575177E-3</v>
      </c>
      <c r="E110" s="208">
        <f>town_population[[#This Row],[Pop Share of State]]/(INDEX(regional_population[Pop Share of State],MATCH(town_population[[#This Row],[Regional Planning Commission]],regional_population[Regional Planning Commission],0)))</f>
        <v>1.4872109814596579E-2</v>
      </c>
    </row>
    <row r="111" spans="1:5" ht="15.75" x14ac:dyDescent="0.25">
      <c r="A111" s="187" t="s">
        <v>320</v>
      </c>
      <c r="B111" s="187" t="s">
        <v>203</v>
      </c>
      <c r="C111" s="187">
        <v>435</v>
      </c>
      <c r="D111" s="189">
        <f t="shared" si="1"/>
        <v>6.944910099336162E-4</v>
      </c>
      <c r="E111" s="208">
        <f>town_population[[#This Row],[Pop Share of State]]/(INDEX(regional_population[Pop Share of State],MATCH(town_population[[#This Row],[Regional Planning Commission]],regional_population[Regional Planning Commission],0)))</f>
        <v>6.744186046511628E-3</v>
      </c>
    </row>
    <row r="112" spans="1:5" ht="15.75" x14ac:dyDescent="0.25">
      <c r="A112" s="187" t="s">
        <v>321</v>
      </c>
      <c r="B112" s="187" t="s">
        <v>209</v>
      </c>
      <c r="C112" s="187">
        <v>132</v>
      </c>
      <c r="D112" s="189">
        <f t="shared" si="1"/>
        <v>2.1074209956606287E-4</v>
      </c>
      <c r="E112" s="208">
        <f>town_population[[#This Row],[Pop Share of State]]/(INDEX(regional_population[Pop Share of State],MATCH(town_population[[#This Row],[Regional Planning Commission]],regional_population[Regional Planning Commission],0)))</f>
        <v>3.7488284910965324E-3</v>
      </c>
    </row>
    <row r="113" spans="1:5" ht="15.75" x14ac:dyDescent="0.25">
      <c r="A113" s="187" t="s">
        <v>322</v>
      </c>
      <c r="B113" s="187" t="s">
        <v>201</v>
      </c>
      <c r="C113" s="187">
        <v>1226</v>
      </c>
      <c r="D113" s="189">
        <f t="shared" si="1"/>
        <v>1.9573470762726747E-3</v>
      </c>
      <c r="E113" s="208">
        <f>town_population[[#This Row],[Pop Share of State]]/(INDEX(regional_population[Pop Share of State],MATCH(town_population[[#This Row],[Regional Planning Commission]],regional_population[Regional Planning Commission],0)))</f>
        <v>3.3886124930901054E-2</v>
      </c>
    </row>
    <row r="114" spans="1:5" ht="15.75" x14ac:dyDescent="0.25">
      <c r="A114" s="187" t="s">
        <v>323</v>
      </c>
      <c r="B114" s="187" t="s">
        <v>203</v>
      </c>
      <c r="C114" s="187">
        <v>134</v>
      </c>
      <c r="D114" s="189">
        <f t="shared" si="1"/>
        <v>2.1393516168070016E-4</v>
      </c>
      <c r="E114" s="208">
        <f>town_population[[#This Row],[Pop Share of State]]/(INDEX(regional_population[Pop Share of State],MATCH(town_population[[#This Row],[Regional Planning Commission]],regional_population[Regional Planning Commission],0)))</f>
        <v>2.0775193798449614E-3</v>
      </c>
    </row>
    <row r="115" spans="1:5" ht="15.75" x14ac:dyDescent="0.25">
      <c r="A115" s="187" t="s">
        <v>324</v>
      </c>
      <c r="B115" s="187" t="s">
        <v>203</v>
      </c>
      <c r="C115" s="187">
        <v>0</v>
      </c>
      <c r="D115" s="189">
        <f t="shared" si="1"/>
        <v>0</v>
      </c>
      <c r="E115" s="208">
        <f>town_population[[#This Row],[Pop Share of State]]/(INDEX(regional_population[Pop Share of State],MATCH(town_population[[#This Row],[Regional Planning Commission]],regional_population[Regional Planning Commission],0)))</f>
        <v>0</v>
      </c>
    </row>
    <row r="116" spans="1:5" ht="15.75" x14ac:dyDescent="0.25">
      <c r="A116" s="187" t="s">
        <v>325</v>
      </c>
      <c r="B116" s="187" t="s">
        <v>201</v>
      </c>
      <c r="C116" s="187">
        <v>1221</v>
      </c>
      <c r="D116" s="189">
        <f t="shared" si="1"/>
        <v>1.9493644209860814E-3</v>
      </c>
      <c r="E116" s="208">
        <f>town_population[[#This Row],[Pop Share of State]]/(INDEX(regional_population[Pop Share of State],MATCH(town_population[[#This Row],[Regional Planning Commission]],regional_population[Regional Planning Commission],0)))</f>
        <v>3.3747927031509126E-2</v>
      </c>
    </row>
    <row r="117" spans="1:5" ht="15.75" x14ac:dyDescent="0.25">
      <c r="A117" s="187" t="s">
        <v>326</v>
      </c>
      <c r="B117" s="187" t="s">
        <v>211</v>
      </c>
      <c r="C117" s="187">
        <v>1596</v>
      </c>
      <c r="D117" s="189">
        <f t="shared" si="1"/>
        <v>2.5480635674805783E-3</v>
      </c>
      <c r="E117" s="208">
        <f>town_population[[#This Row],[Pop Share of State]]/(INDEX(regional_population[Pop Share of State],MATCH(town_population[[#This Row],[Regional Planning Commission]],regional_population[Regional Planning Commission],0)))</f>
        <v>3.4563409563409565E-2</v>
      </c>
    </row>
    <row r="118" spans="1:5" ht="15.75" x14ac:dyDescent="0.25">
      <c r="A118" s="187" t="s">
        <v>327</v>
      </c>
      <c r="B118" s="187" t="s">
        <v>203</v>
      </c>
      <c r="C118" s="187">
        <v>810</v>
      </c>
      <c r="D118" s="189">
        <f t="shared" si="1"/>
        <v>1.2931901564281129E-3</v>
      </c>
      <c r="E118" s="208">
        <f>town_population[[#This Row],[Pop Share of State]]/(INDEX(regional_population[Pop Share of State],MATCH(town_population[[#This Row],[Regional Planning Commission]],regional_population[Regional Planning Commission],0)))</f>
        <v>1.2558139534883722E-2</v>
      </c>
    </row>
    <row r="119" spans="1:5" ht="15.75" x14ac:dyDescent="0.25">
      <c r="A119" s="187" t="s">
        <v>328</v>
      </c>
      <c r="B119" s="187" t="s">
        <v>207</v>
      </c>
      <c r="C119" s="187">
        <v>2131</v>
      </c>
      <c r="D119" s="189">
        <f t="shared" si="1"/>
        <v>3.4022076831460601E-3</v>
      </c>
      <c r="E119" s="208">
        <f>town_population[[#This Row],[Pop Share of State]]/(INDEX(regional_population[Pop Share of State],MATCH(town_population[[#This Row],[Regional Planning Commission]],regional_population[Regional Planning Commission],0)))</f>
        <v>8.539028690495272E-2</v>
      </c>
    </row>
    <row r="120" spans="1:5" ht="15.75" x14ac:dyDescent="0.25">
      <c r="A120" s="187" t="s">
        <v>329</v>
      </c>
      <c r="B120" s="187" t="s">
        <v>203</v>
      </c>
      <c r="C120" s="187">
        <v>1331</v>
      </c>
      <c r="D120" s="189">
        <f t="shared" si="1"/>
        <v>2.1249828372911336E-3</v>
      </c>
      <c r="E120" s="208">
        <f>town_population[[#This Row],[Pop Share of State]]/(INDEX(regional_population[Pop Share of State],MATCH(town_population[[#This Row],[Regional Planning Commission]],regional_population[Regional Planning Commission],0)))</f>
        <v>2.0635658914728683E-2</v>
      </c>
    </row>
    <row r="121" spans="1:5" ht="15.75" x14ac:dyDescent="0.25">
      <c r="A121" s="187" t="s">
        <v>330</v>
      </c>
      <c r="B121" s="187" t="s">
        <v>203</v>
      </c>
      <c r="C121" s="187">
        <v>5966</v>
      </c>
      <c r="D121" s="189">
        <f t="shared" si="1"/>
        <v>9.5249042879631141E-3</v>
      </c>
      <c r="E121" s="208">
        <f>town_population[[#This Row],[Pop Share of State]]/(INDEX(regional_population[Pop Share of State],MATCH(town_population[[#This Row],[Regional Planning Commission]],regional_population[Regional Planning Commission],0)))</f>
        <v>9.2496124031007765E-2</v>
      </c>
    </row>
    <row r="122" spans="1:5" ht="15.75" x14ac:dyDescent="0.25">
      <c r="A122" s="187" t="s">
        <v>331</v>
      </c>
      <c r="B122" s="187" t="s">
        <v>203</v>
      </c>
      <c r="C122" s="187">
        <v>217</v>
      </c>
      <c r="D122" s="189">
        <f t="shared" si="1"/>
        <v>3.4644723943814878E-4</v>
      </c>
      <c r="E122" s="208">
        <f>town_population[[#This Row],[Pop Share of State]]/(INDEX(regional_population[Pop Share of State],MATCH(town_population[[#This Row],[Regional Planning Commission]],regional_population[Regional Planning Commission],0)))</f>
        <v>3.3643410852713181E-3</v>
      </c>
    </row>
    <row r="123" spans="1:5" ht="15.75" x14ac:dyDescent="0.25">
      <c r="A123" s="187" t="s">
        <v>332</v>
      </c>
      <c r="B123" s="187" t="s">
        <v>209</v>
      </c>
      <c r="C123" s="187">
        <v>4352</v>
      </c>
      <c r="D123" s="189">
        <f t="shared" si="1"/>
        <v>6.9481031614507995E-3</v>
      </c>
      <c r="E123" s="208">
        <f>town_population[[#This Row],[Pop Share of State]]/(INDEX(regional_population[Pop Share of State],MATCH(town_population[[#This Row],[Regional Planning Commission]],regional_population[Regional Planning Commission],0)))</f>
        <v>0.12359773934281899</v>
      </c>
    </row>
    <row r="124" spans="1:5" ht="15.75" x14ac:dyDescent="0.25">
      <c r="A124" s="187" t="s">
        <v>333</v>
      </c>
      <c r="B124" s="187" t="s">
        <v>211</v>
      </c>
      <c r="C124" s="187">
        <v>1196</v>
      </c>
      <c r="D124" s="189">
        <f t="shared" si="1"/>
        <v>1.9094511445531151E-3</v>
      </c>
      <c r="E124" s="208">
        <f>town_population[[#This Row],[Pop Share of State]]/(INDEX(regional_population[Pop Share of State],MATCH(town_population[[#This Row],[Regional Planning Commission]],regional_population[Regional Planning Commission],0)))</f>
        <v>2.5900900900900903E-2</v>
      </c>
    </row>
    <row r="125" spans="1:5" ht="15.75" x14ac:dyDescent="0.25">
      <c r="A125" s="187" t="s">
        <v>334</v>
      </c>
      <c r="B125" s="187" t="s">
        <v>220</v>
      </c>
      <c r="C125" s="187">
        <v>1724</v>
      </c>
      <c r="D125" s="189">
        <f t="shared" si="1"/>
        <v>2.7524195428173664E-3</v>
      </c>
      <c r="E125" s="208">
        <f>town_population[[#This Row],[Pop Share of State]]/(INDEX(regional_population[Pop Share of State],MATCH(town_population[[#This Row],[Regional Planning Commission]],regional_population[Regional Planning Commission],0)))</f>
        <v>2.6586475441437274E-2</v>
      </c>
    </row>
    <row r="126" spans="1:5" ht="15.75" x14ac:dyDescent="0.25">
      <c r="A126" s="187" t="s">
        <v>335</v>
      </c>
      <c r="B126" s="187" t="s">
        <v>227</v>
      </c>
      <c r="C126" s="187">
        <v>862</v>
      </c>
      <c r="D126" s="189">
        <f t="shared" si="1"/>
        <v>1.3762097714086832E-3</v>
      </c>
      <c r="E126" s="208">
        <f>town_population[[#This Row],[Pop Share of State]]/(INDEX(regional_population[Pop Share of State],MATCH(town_population[[#This Row],[Regional Planning Commission]],regional_population[Regional Planning Commission],0)))</f>
        <v>1.4307766361810548E-2</v>
      </c>
    </row>
    <row r="127" spans="1:5" ht="15.75" x14ac:dyDescent="0.25">
      <c r="A127" s="187" t="s">
        <v>336</v>
      </c>
      <c r="B127" s="187" t="s">
        <v>201</v>
      </c>
      <c r="C127" s="187">
        <v>8505</v>
      </c>
      <c r="D127" s="189">
        <f t="shared" si="1"/>
        <v>1.3578496642495186E-2</v>
      </c>
      <c r="E127" s="208">
        <f>town_population[[#This Row],[Pop Share of State]]/(INDEX(regional_population[Pop Share of State],MATCH(town_population[[#This Row],[Regional Planning Commission]],regional_population[Regional Planning Commission],0)))</f>
        <v>0.23507462686567165</v>
      </c>
    </row>
    <row r="128" spans="1:5" ht="15.75" x14ac:dyDescent="0.25">
      <c r="A128" s="187" t="s">
        <v>337</v>
      </c>
      <c r="B128" s="187" t="s">
        <v>220</v>
      </c>
      <c r="C128" s="187">
        <v>1899</v>
      </c>
      <c r="D128" s="189">
        <f t="shared" si="1"/>
        <v>3.0318124778481318E-3</v>
      </c>
      <c r="E128" s="208">
        <f>town_population[[#This Row],[Pop Share of State]]/(INDEX(regional_population[Pop Share of State],MATCH(town_population[[#This Row],[Regional Planning Commission]],regional_population[Regional Planning Commission],0)))</f>
        <v>2.92852185981957E-2</v>
      </c>
    </row>
    <row r="129" spans="1:5" ht="15.75" x14ac:dyDescent="0.25">
      <c r="A129" s="187" t="s">
        <v>338</v>
      </c>
      <c r="B129" s="187" t="s">
        <v>227</v>
      </c>
      <c r="C129" s="187">
        <v>731</v>
      </c>
      <c r="D129" s="189">
        <f t="shared" si="1"/>
        <v>1.167064202899939E-3</v>
      </c>
      <c r="E129" s="208">
        <f>town_population[[#This Row],[Pop Share of State]]/(INDEX(regional_population[Pop Share of State],MATCH(town_population[[#This Row],[Regional Planning Commission]],regional_population[Regional Planning Commission],0)))</f>
        <v>1.2133384234899664E-2</v>
      </c>
    </row>
    <row r="130" spans="1:5" ht="15.75" x14ac:dyDescent="0.25">
      <c r="A130" s="187" t="s">
        <v>339</v>
      </c>
      <c r="B130" s="187" t="s">
        <v>233</v>
      </c>
      <c r="C130" s="187">
        <v>10533</v>
      </c>
      <c r="D130" s="189">
        <f t="shared" ref="D130:D193" si="2">C130/SUM($C$2:$C$256)</f>
        <v>1.6816261626737425E-2</v>
      </c>
      <c r="E130" s="208">
        <f>town_population[[#This Row],[Pop Share of State]]/(INDEX(regional_population[Pop Share of State],MATCH(town_population[[#This Row],[Regional Planning Commission]],regional_population[Regional Planning Commission],0)))</f>
        <v>6.6376365904994752E-2</v>
      </c>
    </row>
    <row r="131" spans="1:5" ht="15.75" x14ac:dyDescent="0.25">
      <c r="A131" s="187" t="s">
        <v>340</v>
      </c>
      <c r="B131" s="187" t="s">
        <v>201</v>
      </c>
      <c r="C131" s="187">
        <v>2043</v>
      </c>
      <c r="D131" s="189">
        <f t="shared" si="2"/>
        <v>3.2617129501020183E-3</v>
      </c>
      <c r="E131" s="208">
        <f>town_population[[#This Row],[Pop Share of State]]/(INDEX(regional_population[Pop Share of State],MATCH(town_population[[#This Row],[Regional Planning Commission]],regional_population[Regional Planning Commission],0)))</f>
        <v>5.6467661691542291E-2</v>
      </c>
    </row>
    <row r="132" spans="1:5" ht="15.75" x14ac:dyDescent="0.25">
      <c r="A132" s="187" t="s">
        <v>341</v>
      </c>
      <c r="B132" s="187" t="s">
        <v>205</v>
      </c>
      <c r="C132" s="187">
        <v>1084</v>
      </c>
      <c r="D132" s="189">
        <f t="shared" si="2"/>
        <v>1.7306396661334253E-3</v>
      </c>
      <c r="E132" s="208">
        <f>town_population[[#This Row],[Pop Share of State]]/(INDEX(regional_population[Pop Share of State],MATCH(town_population[[#This Row],[Regional Planning Commission]],regional_population[Regional Planning Commission],0)))</f>
        <v>1.9635902545059324E-2</v>
      </c>
    </row>
    <row r="133" spans="1:5" ht="15.75" x14ac:dyDescent="0.25">
      <c r="A133" s="187" t="s">
        <v>342</v>
      </c>
      <c r="B133" s="187" t="s">
        <v>220</v>
      </c>
      <c r="C133" s="187">
        <v>7760</v>
      </c>
      <c r="D133" s="189">
        <f t="shared" si="2"/>
        <v>1.2389081004792786E-2</v>
      </c>
      <c r="E133" s="208">
        <f>town_population[[#This Row],[Pop Share of State]]/(INDEX(regional_population[Pop Share of State],MATCH(town_population[[#This Row],[Regional Planning Commission]],regional_population[Regional Planning Commission],0)))</f>
        <v>0.1196699822654021</v>
      </c>
    </row>
    <row r="134" spans="1:5" ht="15.75" x14ac:dyDescent="0.25">
      <c r="A134" s="187" t="s">
        <v>343</v>
      </c>
      <c r="B134" s="187" t="s">
        <v>220</v>
      </c>
      <c r="C134" s="187">
        <v>1653</v>
      </c>
      <c r="D134" s="189">
        <f t="shared" si="2"/>
        <v>2.6390658377477417E-3</v>
      </c>
      <c r="E134" s="208">
        <f>town_population[[#This Row],[Pop Share of State]]/(INDEX(regional_population[Pop Share of State],MATCH(town_population[[#This Row],[Regional Planning Commission]],regional_population[Regional Planning Commission],0)))</f>
        <v>2.5491556789266713E-2</v>
      </c>
    </row>
    <row r="135" spans="1:5" ht="15.75" x14ac:dyDescent="0.25">
      <c r="A135" s="187" t="s">
        <v>344</v>
      </c>
      <c r="B135" s="187" t="s">
        <v>203</v>
      </c>
      <c r="C135" s="187">
        <v>721</v>
      </c>
      <c r="D135" s="189">
        <f t="shared" si="2"/>
        <v>1.1510988923267523E-3</v>
      </c>
      <c r="E135" s="208">
        <f>town_population[[#This Row],[Pop Share of State]]/(INDEX(regional_population[Pop Share of State],MATCH(town_population[[#This Row],[Regional Planning Commission]],regional_population[Regional Planning Commission],0)))</f>
        <v>1.1178294573643411E-2</v>
      </c>
    </row>
    <row r="136" spans="1:5" ht="15.75" x14ac:dyDescent="0.25">
      <c r="A136" s="187" t="s">
        <v>345</v>
      </c>
      <c r="B136" s="187" t="s">
        <v>224</v>
      </c>
      <c r="C136" s="187">
        <v>5314</v>
      </c>
      <c r="D136" s="189">
        <f t="shared" si="2"/>
        <v>8.4839660385913479E-3</v>
      </c>
      <c r="E136" s="208">
        <f>town_population[[#This Row],[Pop Share of State]]/(INDEX(regional_population[Pop Share of State],MATCH(town_population[[#This Row],[Regional Planning Commission]],regional_population[Regional Planning Commission],0)))</f>
        <v>0.21390331280441166</v>
      </c>
    </row>
    <row r="137" spans="1:5" ht="15.75" x14ac:dyDescent="0.25">
      <c r="A137" s="187" t="s">
        <v>346</v>
      </c>
      <c r="B137" s="187" t="s">
        <v>227</v>
      </c>
      <c r="C137" s="187">
        <v>1258</v>
      </c>
      <c r="D137" s="189">
        <f t="shared" si="2"/>
        <v>2.0084360701068719E-3</v>
      </c>
      <c r="E137" s="208">
        <f>town_population[[#This Row],[Pop Share of State]]/(INDEX(regional_population[Pop Share of State],MATCH(town_population[[#This Row],[Regional Planning Commission]],regional_population[Regional Planning Commission],0)))</f>
        <v>2.0880707753083143E-2</v>
      </c>
    </row>
    <row r="138" spans="1:5" ht="15.75" x14ac:dyDescent="0.25">
      <c r="A138" s="187" t="s">
        <v>347</v>
      </c>
      <c r="B138" s="187" t="s">
        <v>227</v>
      </c>
      <c r="C138" s="187">
        <v>271</v>
      </c>
      <c r="D138" s="189">
        <f t="shared" si="2"/>
        <v>4.3265991653335632E-4</v>
      </c>
      <c r="E138" s="208">
        <f>town_population[[#This Row],[Pop Share of State]]/(INDEX(regional_population[Pop Share of State],MATCH(town_population[[#This Row],[Regional Planning Commission]],regional_population[Regional Planning Commission],0)))</f>
        <v>4.4981492854415991E-3</v>
      </c>
    </row>
    <row r="139" spans="1:5" ht="15.75" x14ac:dyDescent="0.25">
      <c r="A139" s="187" t="s">
        <v>348</v>
      </c>
      <c r="B139" s="187" t="s">
        <v>201</v>
      </c>
      <c r="C139" s="187">
        <v>1648</v>
      </c>
      <c r="D139" s="189">
        <f t="shared" si="2"/>
        <v>2.6310831824611484E-3</v>
      </c>
      <c r="E139" s="208">
        <f>town_population[[#This Row],[Pop Share of State]]/(INDEX(regional_population[Pop Share of State],MATCH(town_population[[#This Row],[Regional Planning Commission]],regional_population[Regional Planning Commission],0)))</f>
        <v>4.5550027639579882E-2</v>
      </c>
    </row>
    <row r="140" spans="1:5" ht="15.75" x14ac:dyDescent="0.25">
      <c r="A140" s="187" t="s">
        <v>349</v>
      </c>
      <c r="B140" s="187" t="s">
        <v>203</v>
      </c>
      <c r="C140" s="187">
        <v>534</v>
      </c>
      <c r="D140" s="189">
        <f t="shared" si="2"/>
        <v>8.5254758460816336E-4</v>
      </c>
      <c r="E140" s="208">
        <f>town_population[[#This Row],[Pop Share of State]]/(INDEX(regional_population[Pop Share of State],MATCH(town_population[[#This Row],[Regional Planning Commission]],regional_population[Regional Planning Commission],0)))</f>
        <v>8.2790697674418618E-3</v>
      </c>
    </row>
    <row r="141" spans="1:5" ht="15.75" x14ac:dyDescent="0.25">
      <c r="A141" s="187" t="s">
        <v>350</v>
      </c>
      <c r="B141" s="187" t="s">
        <v>217</v>
      </c>
      <c r="C141" s="187">
        <v>2155</v>
      </c>
      <c r="D141" s="189">
        <f t="shared" si="2"/>
        <v>3.4405244285217081E-3</v>
      </c>
      <c r="E141" s="208">
        <f>town_population[[#This Row],[Pop Share of State]]/(INDEX(regional_population[Pop Share of State],MATCH(town_population[[#This Row],[Regional Planning Commission]],regional_population[Regional Planning Commission],0)))</f>
        <v>3.8822533282891057E-2</v>
      </c>
    </row>
    <row r="142" spans="1:5" ht="15.75" x14ac:dyDescent="0.25">
      <c r="A142" s="187" t="s">
        <v>351</v>
      </c>
      <c r="B142" s="187" t="s">
        <v>211</v>
      </c>
      <c r="C142" s="187">
        <v>1819</v>
      </c>
      <c r="D142" s="189">
        <f t="shared" si="2"/>
        <v>2.9040899932626391E-3</v>
      </c>
      <c r="E142" s="208">
        <f>town_population[[#This Row],[Pop Share of State]]/(INDEX(regional_population[Pop Share of State],MATCH(town_population[[#This Row],[Regional Planning Commission]],regional_population[Regional Planning Commission],0)))</f>
        <v>3.9392758142758146E-2</v>
      </c>
    </row>
    <row r="143" spans="1:5" ht="15.75" x14ac:dyDescent="0.25">
      <c r="A143" s="187" t="s">
        <v>353</v>
      </c>
      <c r="B143" s="187" t="s">
        <v>203</v>
      </c>
      <c r="C143" s="187">
        <v>1764</v>
      </c>
      <c r="D143" s="189">
        <f t="shared" si="2"/>
        <v>2.8162807851101128E-3</v>
      </c>
      <c r="E143" s="208">
        <f>town_population[[#This Row],[Pop Share of State]]/(INDEX(regional_population[Pop Share of State],MATCH(town_population[[#This Row],[Regional Planning Commission]],regional_population[Regional Planning Commission],0)))</f>
        <v>2.734883720930233E-2</v>
      </c>
    </row>
    <row r="144" spans="1:5" ht="15.75" x14ac:dyDescent="0.25">
      <c r="A144" s="187" t="s">
        <v>352</v>
      </c>
      <c r="B144" s="187" t="s">
        <v>203</v>
      </c>
      <c r="C144" s="187">
        <v>4535</v>
      </c>
      <c r="D144" s="189">
        <f t="shared" si="2"/>
        <v>7.240268344940114E-3</v>
      </c>
      <c r="E144" s="208">
        <f>town_population[[#This Row],[Pop Share of State]]/(INDEX(regional_population[Pop Share of State],MATCH(town_population[[#This Row],[Regional Planning Commission]],regional_population[Regional Planning Commission],0)))</f>
        <v>7.0310077519379857E-2</v>
      </c>
    </row>
    <row r="145" spans="1:5" ht="15.75" x14ac:dyDescent="0.25">
      <c r="A145" s="187" t="s">
        <v>354</v>
      </c>
      <c r="B145" s="187" t="s">
        <v>205</v>
      </c>
      <c r="C145" s="187">
        <v>939</v>
      </c>
      <c r="D145" s="189">
        <f t="shared" si="2"/>
        <v>1.4991426628222198E-3</v>
      </c>
      <c r="E145" s="208">
        <f>town_population[[#This Row],[Pop Share of State]]/(INDEX(regional_population[Pop Share of State],MATCH(town_population[[#This Row],[Regional Planning Commission]],regional_population[Regional Planning Commission],0)))</f>
        <v>1.7009328865139027E-2</v>
      </c>
    </row>
    <row r="146" spans="1:5" ht="15.75" x14ac:dyDescent="0.25">
      <c r="A146" s="187" t="s">
        <v>355</v>
      </c>
      <c r="B146" s="187" t="s">
        <v>220</v>
      </c>
      <c r="C146" s="187">
        <v>6175</v>
      </c>
      <c r="D146" s="189">
        <f t="shared" si="2"/>
        <v>9.8585792789427137E-3</v>
      </c>
      <c r="E146" s="208">
        <f>town_population[[#This Row],[Pop Share of State]]/(INDEX(regional_population[Pop Share of State],MATCH(town_population[[#This Row],[Regional Planning Commission]],regional_population[Regional Planning Commission],0)))</f>
        <v>9.5227079959904384E-2</v>
      </c>
    </row>
    <row r="147" spans="1:5" ht="15.75" x14ac:dyDescent="0.25">
      <c r="A147" s="187" t="s">
        <v>356</v>
      </c>
      <c r="B147" s="187" t="s">
        <v>203</v>
      </c>
      <c r="C147" s="187">
        <v>161</v>
      </c>
      <c r="D147" s="189">
        <f t="shared" si="2"/>
        <v>2.5704150022830394E-4</v>
      </c>
      <c r="E147" s="208">
        <f>town_population[[#This Row],[Pop Share of State]]/(INDEX(regional_population[Pop Share of State],MATCH(town_population[[#This Row],[Regional Planning Commission]],regional_population[Regional Planning Commission],0)))</f>
        <v>2.4961240310077521E-3</v>
      </c>
    </row>
    <row r="148" spans="1:5" ht="15.75" x14ac:dyDescent="0.25">
      <c r="A148" s="187" t="s">
        <v>357</v>
      </c>
      <c r="B148" s="187" t="s">
        <v>217</v>
      </c>
      <c r="C148" s="187">
        <v>3400</v>
      </c>
      <c r="D148" s="189">
        <f t="shared" si="2"/>
        <v>5.428205594883437E-3</v>
      </c>
      <c r="E148" s="208">
        <f>town_population[[#This Row],[Pop Share of State]]/(INDEX(regional_population[Pop Share of State],MATCH(town_population[[#This Row],[Regional Planning Commission]],regional_population[Regional Planning Commission],0)))</f>
        <v>6.1251328613378002E-2</v>
      </c>
    </row>
    <row r="149" spans="1:5" ht="15.75" x14ac:dyDescent="0.25">
      <c r="A149" s="187" t="s">
        <v>358</v>
      </c>
      <c r="B149" s="187" t="s">
        <v>220</v>
      </c>
      <c r="C149" s="187">
        <v>1048</v>
      </c>
      <c r="D149" s="189">
        <f t="shared" si="2"/>
        <v>1.6731645480699536E-3</v>
      </c>
      <c r="E149" s="208">
        <f>town_population[[#This Row],[Pop Share of State]]/(INDEX(regional_population[Pop Share of State],MATCH(town_population[[#This Row],[Regional Planning Commission]],regional_population[Regional Planning Commission],0)))</f>
        <v>1.6161616161616162E-2</v>
      </c>
    </row>
    <row r="150" spans="1:5" ht="15.75" x14ac:dyDescent="0.25">
      <c r="A150" s="187" t="s">
        <v>359</v>
      </c>
      <c r="B150" s="187" t="s">
        <v>201</v>
      </c>
      <c r="C150" s="187">
        <v>1242</v>
      </c>
      <c r="D150" s="189">
        <f t="shared" si="2"/>
        <v>1.9828915731897731E-3</v>
      </c>
      <c r="E150" s="208">
        <f>town_population[[#This Row],[Pop Share of State]]/(INDEX(regional_population[Pop Share of State],MATCH(town_population[[#This Row],[Regional Planning Commission]],regional_population[Regional Planning Commission],0)))</f>
        <v>3.4328358208955224E-2</v>
      </c>
    </row>
    <row r="151" spans="1:5" ht="15.75" x14ac:dyDescent="0.25">
      <c r="A151" s="187" t="s">
        <v>360</v>
      </c>
      <c r="B151" s="187" t="s">
        <v>201</v>
      </c>
      <c r="C151" s="187">
        <v>740</v>
      </c>
      <c r="D151" s="189">
        <f t="shared" si="2"/>
        <v>1.181432982415807E-3</v>
      </c>
      <c r="E151" s="208">
        <f>town_population[[#This Row],[Pop Share of State]]/(INDEX(regional_population[Pop Share of State],MATCH(town_population[[#This Row],[Regional Planning Commission]],regional_population[Regional Planning Commission],0)))</f>
        <v>2.0453289110005532E-2</v>
      </c>
    </row>
    <row r="152" spans="1:5" ht="15.75" x14ac:dyDescent="0.25">
      <c r="A152" s="187" t="s">
        <v>361</v>
      </c>
      <c r="B152" s="187" t="s">
        <v>227</v>
      </c>
      <c r="C152" s="187">
        <v>1440</v>
      </c>
      <c r="D152" s="189">
        <f t="shared" si="2"/>
        <v>2.2990047225388676E-3</v>
      </c>
      <c r="E152" s="208">
        <f>town_population[[#This Row],[Pop Share of State]]/(INDEX(regional_population[Pop Share of State],MATCH(town_population[[#This Row],[Regional Planning Commission]],regional_population[Regional Planning Commission],0)))</f>
        <v>2.3901605059173072E-2</v>
      </c>
    </row>
    <row r="153" spans="1:5" ht="15.75" x14ac:dyDescent="0.25">
      <c r="A153" s="187" t="s">
        <v>362</v>
      </c>
      <c r="B153" s="187" t="s">
        <v>203</v>
      </c>
      <c r="C153" s="187">
        <v>695</v>
      </c>
      <c r="D153" s="189">
        <f t="shared" si="2"/>
        <v>1.1095890848364673E-3</v>
      </c>
      <c r="E153" s="208">
        <f>town_population[[#This Row],[Pop Share of State]]/(INDEX(regional_population[Pop Share of State],MATCH(town_population[[#This Row],[Regional Planning Commission]],regional_population[Regional Planning Commission],0)))</f>
        <v>1.0775193798449613E-2</v>
      </c>
    </row>
    <row r="154" spans="1:5" ht="15.75" x14ac:dyDescent="0.25">
      <c r="A154" s="187" t="s">
        <v>363</v>
      </c>
      <c r="B154" s="187" t="s">
        <v>209</v>
      </c>
      <c r="C154" s="187">
        <v>348</v>
      </c>
      <c r="D154" s="189">
        <f t="shared" si="2"/>
        <v>5.5559280794689303E-4</v>
      </c>
      <c r="E154" s="208">
        <f>town_population[[#This Row],[Pop Share of State]]/(INDEX(regional_population[Pop Share of State],MATCH(town_population[[#This Row],[Regional Planning Commission]],regional_population[Regional Planning Commission],0)))</f>
        <v>9.8832751128908585E-3</v>
      </c>
    </row>
    <row r="155" spans="1:5" ht="15.75" x14ac:dyDescent="0.25">
      <c r="A155" s="187" t="s">
        <v>364</v>
      </c>
      <c r="B155" s="187" t="s">
        <v>217</v>
      </c>
      <c r="C155" s="187">
        <v>617</v>
      </c>
      <c r="D155" s="189">
        <f t="shared" si="2"/>
        <v>9.8505966236561195E-4</v>
      </c>
      <c r="E155" s="208">
        <f>town_population[[#This Row],[Pop Share of State]]/(INDEX(regional_population[Pop Share of State],MATCH(town_population[[#This Row],[Regional Planning Commission]],regional_population[Regional Planning Commission],0)))</f>
        <v>1.1115314633663007E-2</v>
      </c>
    </row>
    <row r="156" spans="1:5" ht="15.75" x14ac:dyDescent="0.25">
      <c r="A156" s="187" t="s">
        <v>365</v>
      </c>
      <c r="B156" s="187" t="s">
        <v>227</v>
      </c>
      <c r="C156" s="187">
        <v>2940</v>
      </c>
      <c r="D156" s="189">
        <f t="shared" si="2"/>
        <v>4.6938013085168545E-3</v>
      </c>
      <c r="E156" s="208">
        <f>town_population[[#This Row],[Pop Share of State]]/(INDEX(regional_population[Pop Share of State],MATCH(town_population[[#This Row],[Regional Planning Commission]],regional_population[Regional Planning Commission],0)))</f>
        <v>4.8799110329145023E-2</v>
      </c>
    </row>
    <row r="157" spans="1:5" ht="15.75" x14ac:dyDescent="0.25">
      <c r="A157" s="187" t="s">
        <v>366</v>
      </c>
      <c r="B157" s="187" t="s">
        <v>220</v>
      </c>
      <c r="C157" s="187">
        <v>1304</v>
      </c>
      <c r="D157" s="189">
        <f t="shared" si="2"/>
        <v>2.0818764987435298E-3</v>
      </c>
      <c r="E157" s="208">
        <f>town_population[[#This Row],[Pop Share of State]]/(INDEX(regional_population[Pop Share of State],MATCH(town_population[[#This Row],[Regional Planning Commission]],regional_population[Regional Planning Commission],0)))</f>
        <v>2.0109491865217054E-2</v>
      </c>
    </row>
    <row r="158" spans="1:5" ht="15.75" x14ac:dyDescent="0.25">
      <c r="A158" s="187" t="s">
        <v>367</v>
      </c>
      <c r="B158" s="187" t="s">
        <v>217</v>
      </c>
      <c r="C158" s="187">
        <v>471</v>
      </c>
      <c r="D158" s="189">
        <f t="shared" si="2"/>
        <v>7.5196612799708793E-4</v>
      </c>
      <c r="E158" s="208">
        <f>town_population[[#This Row],[Pop Share of State]]/(INDEX(regional_population[Pop Share of State],MATCH(town_population[[#This Row],[Regional Planning Commission]],regional_population[Regional Planning Commission],0)))</f>
        <v>8.485110522617953E-3</v>
      </c>
    </row>
    <row r="159" spans="1:5" ht="15.75" x14ac:dyDescent="0.25">
      <c r="A159" s="187" t="s">
        <v>368</v>
      </c>
      <c r="B159" s="187" t="s">
        <v>217</v>
      </c>
      <c r="C159" s="187">
        <v>963</v>
      </c>
      <c r="D159" s="189">
        <f t="shared" si="2"/>
        <v>1.5374594081978676E-3</v>
      </c>
      <c r="E159" s="208">
        <f>town_population[[#This Row],[Pop Share of State]]/(INDEX(regional_population[Pop Share of State],MATCH(town_population[[#This Row],[Regional Planning Commission]],regional_population[Regional Planning Commission],0)))</f>
        <v>1.7348538074906768E-2</v>
      </c>
    </row>
    <row r="160" spans="1:5" ht="15.75" x14ac:dyDescent="0.25">
      <c r="A160" s="187" t="s">
        <v>369</v>
      </c>
      <c r="B160" s="187" t="s">
        <v>227</v>
      </c>
      <c r="C160" s="187">
        <v>3382</v>
      </c>
      <c r="D160" s="189">
        <f t="shared" si="2"/>
        <v>5.3994680358517011E-3</v>
      </c>
      <c r="E160" s="208">
        <f>town_population[[#This Row],[Pop Share of State]]/(INDEX(regional_population[Pop Share of State],MATCH(town_population[[#This Row],[Regional Planning Commission]],regional_population[Regional Planning Commission],0)))</f>
        <v>5.6135575215363422E-2</v>
      </c>
    </row>
    <row r="161" spans="1:5" ht="15.75" x14ac:dyDescent="0.25">
      <c r="A161" s="187" t="s">
        <v>370</v>
      </c>
      <c r="B161" s="187" t="s">
        <v>209</v>
      </c>
      <c r="C161" s="187">
        <v>3495</v>
      </c>
      <c r="D161" s="189">
        <f t="shared" si="2"/>
        <v>5.5798760453287096E-3</v>
      </c>
      <c r="E161" s="208">
        <f>town_population[[#This Row],[Pop Share of State]]/(INDEX(regional_population[Pop Share of State],MATCH(town_population[[#This Row],[Regional Planning Commission]],regional_population[Regional Planning Commission],0)))</f>
        <v>9.9258754366533183E-2</v>
      </c>
    </row>
    <row r="162" spans="1:5" ht="15.75" x14ac:dyDescent="0.25">
      <c r="A162" s="187" t="s">
        <v>371</v>
      </c>
      <c r="B162" s="187" t="s">
        <v>227</v>
      </c>
      <c r="C162" s="187">
        <v>1650</v>
      </c>
      <c r="D162" s="189">
        <f t="shared" si="2"/>
        <v>2.6342762445757859E-3</v>
      </c>
      <c r="E162" s="208">
        <f>town_population[[#This Row],[Pop Share of State]]/(INDEX(regional_population[Pop Share of State],MATCH(town_population[[#This Row],[Regional Planning Commission]],regional_population[Regional Planning Commission],0)))</f>
        <v>2.7387255796969146E-2</v>
      </c>
    </row>
    <row r="163" spans="1:5" ht="15.75" x14ac:dyDescent="0.25">
      <c r="A163" s="187" t="s">
        <v>372</v>
      </c>
      <c r="B163" s="187" t="s">
        <v>211</v>
      </c>
      <c r="C163" s="187">
        <v>2696</v>
      </c>
      <c r="D163" s="189">
        <f t="shared" si="2"/>
        <v>4.3042477305311024E-3</v>
      </c>
      <c r="E163" s="208">
        <f>town_population[[#This Row],[Pop Share of State]]/(INDEX(regional_population[Pop Share of State],MATCH(town_population[[#This Row],[Regional Planning Commission]],regional_population[Regional Planning Commission],0)))</f>
        <v>5.8385308385308393E-2</v>
      </c>
    </row>
    <row r="164" spans="1:5" ht="15.75" x14ac:dyDescent="0.25">
      <c r="A164" s="187" t="s">
        <v>373</v>
      </c>
      <c r="B164" s="187" t="s">
        <v>217</v>
      </c>
      <c r="C164" s="187">
        <v>4768</v>
      </c>
      <c r="D164" s="189">
        <f t="shared" si="2"/>
        <v>7.6122600812953611E-3</v>
      </c>
      <c r="E164" s="208">
        <f>town_population[[#This Row],[Pop Share of State]]/(INDEX(regional_population[Pop Share of State],MATCH(town_population[[#This Row],[Regional Planning Commission]],regional_population[Regional Planning Commission],0)))</f>
        <v>8.5895980831937155E-2</v>
      </c>
    </row>
    <row r="165" spans="1:5" ht="15.75" x14ac:dyDescent="0.25">
      <c r="A165" s="187" t="s">
        <v>374</v>
      </c>
      <c r="B165" s="187" t="s">
        <v>207</v>
      </c>
      <c r="C165" s="187">
        <v>739</v>
      </c>
      <c r="D165" s="189">
        <f t="shared" si="2"/>
        <v>1.1798364513584882E-3</v>
      </c>
      <c r="E165" s="208">
        <f>town_population[[#This Row],[Pop Share of State]]/(INDEX(regional_population[Pop Share of State],MATCH(town_population[[#This Row],[Regional Planning Commission]],regional_population[Regional Planning Commission],0)))</f>
        <v>2.961211732649463E-2</v>
      </c>
    </row>
    <row r="166" spans="1:5" ht="15.75" x14ac:dyDescent="0.25">
      <c r="A166" s="187" t="s">
        <v>375</v>
      </c>
      <c r="B166" s="187" t="s">
        <v>211</v>
      </c>
      <c r="C166" s="187">
        <v>777</v>
      </c>
      <c r="D166" s="189">
        <f t="shared" si="2"/>
        <v>1.2405046315365972E-3</v>
      </c>
      <c r="E166" s="208">
        <f>town_population[[#This Row],[Pop Share of State]]/(INDEX(regional_population[Pop Share of State],MATCH(town_population[[#This Row],[Regional Planning Commission]],regional_population[Regional Planning Commission],0)))</f>
        <v>1.6826923076923076E-2</v>
      </c>
    </row>
    <row r="167" spans="1:5" ht="15.75" x14ac:dyDescent="0.25">
      <c r="A167" s="187" t="s">
        <v>376</v>
      </c>
      <c r="B167" s="187" t="s">
        <v>205</v>
      </c>
      <c r="C167" s="187">
        <v>2329</v>
      </c>
      <c r="D167" s="189">
        <f t="shared" si="2"/>
        <v>3.7183208324951546E-3</v>
      </c>
      <c r="E167" s="208">
        <f>town_population[[#This Row],[Pop Share of State]]/(INDEX(regional_population[Pop Share of State],MATCH(town_population[[#This Row],[Regional Planning Commission]],regional_population[Regional Planning Commission],0)))</f>
        <v>4.2188207589892217E-2</v>
      </c>
    </row>
    <row r="168" spans="1:5" ht="15.75" x14ac:dyDescent="0.25">
      <c r="A168" s="187" t="s">
        <v>377</v>
      </c>
      <c r="B168" s="187" t="s">
        <v>233</v>
      </c>
      <c r="C168" s="187">
        <v>4114</v>
      </c>
      <c r="D168" s="189">
        <f t="shared" si="2"/>
        <v>6.5681287698089591E-3</v>
      </c>
      <c r="E168" s="208">
        <f>town_population[[#This Row],[Pop Share of State]]/(INDEX(regional_population[Pop Share of State],MATCH(town_population[[#This Row],[Regional Planning Commission]],regional_population[Regional Planning Commission],0)))</f>
        <v>2.5925412449743512E-2</v>
      </c>
    </row>
    <row r="169" spans="1:5" ht="15.75" x14ac:dyDescent="0.25">
      <c r="A169" s="187" t="s">
        <v>378</v>
      </c>
      <c r="B169" s="187" t="s">
        <v>201</v>
      </c>
      <c r="C169" s="187">
        <v>650</v>
      </c>
      <c r="D169" s="189">
        <f t="shared" si="2"/>
        <v>1.0377451872571276E-3</v>
      </c>
      <c r="E169" s="208">
        <f>town_population[[#This Row],[Pop Share of State]]/(INDEX(regional_population[Pop Share of State],MATCH(town_population[[#This Row],[Regional Planning Commission]],regional_population[Regional Planning Commission],0)))</f>
        <v>1.7965726920950803E-2</v>
      </c>
    </row>
    <row r="170" spans="1:5" ht="15.75" x14ac:dyDescent="0.25">
      <c r="A170" s="187" t="s">
        <v>379</v>
      </c>
      <c r="B170" s="187" t="s">
        <v>217</v>
      </c>
      <c r="C170" s="187">
        <v>1095</v>
      </c>
      <c r="D170" s="189">
        <f t="shared" si="2"/>
        <v>1.7482015077639305E-3</v>
      </c>
      <c r="E170" s="208">
        <f>town_population[[#This Row],[Pop Share of State]]/(INDEX(regional_population[Pop Share of State],MATCH(town_population[[#This Row],[Regional Planning Commission]],regional_population[Regional Planning Commission],0)))</f>
        <v>1.9726530832837916E-2</v>
      </c>
    </row>
    <row r="171" spans="1:5" ht="15.75" x14ac:dyDescent="0.25">
      <c r="A171" s="187" t="s">
        <v>380</v>
      </c>
      <c r="B171" s="187" t="s">
        <v>211</v>
      </c>
      <c r="C171" s="187">
        <v>5190</v>
      </c>
      <c r="D171" s="189">
        <f t="shared" si="2"/>
        <v>8.2859961874838343E-3</v>
      </c>
      <c r="E171" s="208">
        <f>town_population[[#This Row],[Pop Share of State]]/(INDEX(regional_population[Pop Share of State],MATCH(town_population[[#This Row],[Regional Planning Commission]],regional_population[Regional Planning Commission],0)))</f>
        <v>0.11239604989604988</v>
      </c>
    </row>
    <row r="172" spans="1:5" ht="15.75" x14ac:dyDescent="0.25">
      <c r="A172" s="187" t="s">
        <v>381</v>
      </c>
      <c r="B172" s="187" t="s">
        <v>220</v>
      </c>
      <c r="C172" s="187">
        <v>684</v>
      </c>
      <c r="D172" s="189">
        <f t="shared" si="2"/>
        <v>1.0920272432059621E-3</v>
      </c>
      <c r="E172" s="208">
        <f>town_population[[#This Row],[Pop Share of State]]/(INDEX(regional_population[Pop Share of State],MATCH(town_population[[#This Row],[Regional Planning Commission]],regional_population[Regional Planning Commission],0)))</f>
        <v>1.054823039555864E-2</v>
      </c>
    </row>
    <row r="173" spans="1:5" ht="15.75" x14ac:dyDescent="0.25">
      <c r="A173" s="187" t="s">
        <v>382</v>
      </c>
      <c r="B173" s="187" t="s">
        <v>217</v>
      </c>
      <c r="C173" s="187">
        <v>2778</v>
      </c>
      <c r="D173" s="189">
        <f t="shared" si="2"/>
        <v>4.4351632772312317E-3</v>
      </c>
      <c r="E173" s="208">
        <f>town_population[[#This Row],[Pop Share of State]]/(INDEX(regional_population[Pop Share of State],MATCH(town_population[[#This Row],[Regional Planning Commission]],regional_population[Regional Planning Commission],0)))</f>
        <v>5.0045938496460024E-2</v>
      </c>
    </row>
    <row r="174" spans="1:5" ht="15.75" x14ac:dyDescent="0.25">
      <c r="A174" s="187" t="s">
        <v>383</v>
      </c>
      <c r="B174" s="187" t="s">
        <v>209</v>
      </c>
      <c r="C174" s="187">
        <v>620</v>
      </c>
      <c r="D174" s="189">
        <f t="shared" si="2"/>
        <v>9.89849255537568E-4</v>
      </c>
      <c r="E174" s="208">
        <f>town_population[[#This Row],[Pop Share of State]]/(INDEX(regional_population[Pop Share of State],MATCH(town_population[[#This Row],[Regional Planning Commission]],regional_population[Regional Planning Commission],0)))</f>
        <v>1.7608133821817046E-2</v>
      </c>
    </row>
    <row r="175" spans="1:5" ht="15.75" x14ac:dyDescent="0.25">
      <c r="A175" s="187" t="s">
        <v>384</v>
      </c>
      <c r="B175" s="187" t="s">
        <v>227</v>
      </c>
      <c r="C175" s="187">
        <v>16217</v>
      </c>
      <c r="D175" s="189">
        <f t="shared" si="2"/>
        <v>2.5890944156536679E-2</v>
      </c>
      <c r="E175" s="208">
        <f>town_population[[#This Row],[Pop Share of State]]/(INDEX(regional_population[Pop Share of State],MATCH(town_population[[#This Row],[Regional Planning Commission]],regional_population[Regional Planning Commission],0)))</f>
        <v>0.26917522864209009</v>
      </c>
    </row>
    <row r="176" spans="1:5" ht="15.75" x14ac:dyDescent="0.25">
      <c r="A176" s="187" t="s">
        <v>385</v>
      </c>
      <c r="B176" s="187" t="s">
        <v>227</v>
      </c>
      <c r="C176" s="187">
        <v>4048</v>
      </c>
      <c r="D176" s="189">
        <f t="shared" si="2"/>
        <v>6.4627577200259273E-3</v>
      </c>
      <c r="E176" s="208">
        <f>town_population[[#This Row],[Pop Share of State]]/(INDEX(regional_population[Pop Share of State],MATCH(town_population[[#This Row],[Regional Planning Commission]],regional_population[Regional Planning Commission],0)))</f>
        <v>6.7190067555230965E-2</v>
      </c>
    </row>
    <row r="177" spans="1:5" ht="15.75" x14ac:dyDescent="0.25">
      <c r="A177" s="187" t="s">
        <v>386</v>
      </c>
      <c r="B177" s="187" t="s">
        <v>203</v>
      </c>
      <c r="C177" s="187">
        <v>1118</v>
      </c>
      <c r="D177" s="189">
        <f t="shared" si="2"/>
        <v>1.7849217220822597E-3</v>
      </c>
      <c r="E177" s="208">
        <f>town_population[[#This Row],[Pop Share of State]]/(INDEX(regional_population[Pop Share of State],MATCH(town_population[[#This Row],[Regional Planning Commission]],regional_population[Regional Planning Commission],0)))</f>
        <v>1.7333333333333336E-2</v>
      </c>
    </row>
    <row r="178" spans="1:5" ht="15.75" x14ac:dyDescent="0.25">
      <c r="A178" s="187" t="s">
        <v>401</v>
      </c>
      <c r="B178" s="187" t="s">
        <v>205</v>
      </c>
      <c r="C178" s="187">
        <v>6157</v>
      </c>
      <c r="D178" s="189">
        <f t="shared" si="2"/>
        <v>9.8298417199109769E-3</v>
      </c>
      <c r="E178" s="208">
        <f>town_population[[#This Row],[Pop Share of State]]/(INDEX(regional_population[Pop Share of State],MATCH(town_population[[#This Row],[Regional Planning Commission]],regional_population[Regional Planning Commission],0)))</f>
        <v>0.11152975273978806</v>
      </c>
    </row>
    <row r="179" spans="1:5" ht="15.75" x14ac:dyDescent="0.25">
      <c r="A179" s="187" t="s">
        <v>509</v>
      </c>
      <c r="B179" s="187" t="s">
        <v>205</v>
      </c>
      <c r="C179" s="187">
        <v>6889</v>
      </c>
      <c r="D179" s="189">
        <f t="shared" si="2"/>
        <v>1.0998502453868235E-2</v>
      </c>
      <c r="E179" s="208">
        <f>town_population[[#This Row],[Pop Share of State]]/(INDEX(regional_population[Pop Share of State],MATCH(town_population[[#This Row],[Regional Planning Commission]],regional_population[Regional Planning Commission],0)))</f>
        <v>0.12478942124807535</v>
      </c>
    </row>
    <row r="180" spans="1:5" ht="15.75" x14ac:dyDescent="0.25">
      <c r="A180" s="187" t="s">
        <v>402</v>
      </c>
      <c r="B180" s="187" t="s">
        <v>233</v>
      </c>
      <c r="C180" s="187">
        <v>772</v>
      </c>
      <c r="D180" s="189">
        <f t="shared" si="2"/>
        <v>1.2325219762500039E-3</v>
      </c>
      <c r="E180" s="208">
        <f>town_population[[#This Row],[Pop Share of State]]/(INDEX(regional_population[Pop Share of State],MATCH(town_population[[#This Row],[Regional Planning Commission]],regional_population[Regional Planning Commission],0)))</f>
        <v>4.8649534300442363E-3</v>
      </c>
    </row>
    <row r="181" spans="1:5" ht="15.75" x14ac:dyDescent="0.25">
      <c r="A181" s="187" t="s">
        <v>403</v>
      </c>
      <c r="B181" s="187" t="s">
        <v>203</v>
      </c>
      <c r="C181" s="187">
        <v>7573</v>
      </c>
      <c r="D181" s="189">
        <f t="shared" si="2"/>
        <v>1.2090529697074198E-2</v>
      </c>
      <c r="E181" s="208">
        <f>town_population[[#This Row],[Pop Share of State]]/(INDEX(regional_population[Pop Share of State],MATCH(town_population[[#This Row],[Regional Planning Commission]],regional_population[Regional Planning Commission],0)))</f>
        <v>0.11741085271317832</v>
      </c>
    </row>
    <row r="182" spans="1:5" ht="15.75" x14ac:dyDescent="0.25">
      <c r="A182" s="187" t="s">
        <v>387</v>
      </c>
      <c r="B182" s="187" t="s">
        <v>201</v>
      </c>
      <c r="C182" s="187">
        <v>1142</v>
      </c>
      <c r="D182" s="189">
        <f t="shared" si="2"/>
        <v>1.8232384674579075E-3</v>
      </c>
      <c r="E182" s="208">
        <f>town_population[[#This Row],[Pop Share of State]]/(INDEX(regional_population[Pop Share of State],MATCH(town_population[[#This Row],[Regional Planning Commission]],regional_population[Regional Planning Commission],0)))</f>
        <v>3.1564400221116645E-2</v>
      </c>
    </row>
    <row r="183" spans="1:5" ht="15.75" x14ac:dyDescent="0.25">
      <c r="A183" s="187" t="s">
        <v>388</v>
      </c>
      <c r="B183" s="187" t="s">
        <v>209</v>
      </c>
      <c r="C183" s="187">
        <v>516</v>
      </c>
      <c r="D183" s="189">
        <f t="shared" si="2"/>
        <v>8.2381002557642749E-4</v>
      </c>
      <c r="E183" s="208">
        <f>town_population[[#This Row],[Pop Share of State]]/(INDEX(regional_population[Pop Share of State],MATCH(town_population[[#This Row],[Regional Planning Commission]],regional_population[Regional Planning Commission],0)))</f>
        <v>1.4654511374286442E-2</v>
      </c>
    </row>
    <row r="184" spans="1:5" ht="15.75" x14ac:dyDescent="0.25">
      <c r="A184" s="187" t="s">
        <v>389</v>
      </c>
      <c r="B184" s="187" t="s">
        <v>211</v>
      </c>
      <c r="C184" s="187">
        <v>97</v>
      </c>
      <c r="D184" s="189">
        <f t="shared" si="2"/>
        <v>1.5486351255990984E-4</v>
      </c>
      <c r="E184" s="208">
        <f>town_population[[#This Row],[Pop Share of State]]/(INDEX(regional_population[Pop Share of State],MATCH(town_population[[#This Row],[Regional Planning Commission]],regional_population[Regional Planning Commission],0)))</f>
        <v>2.1006583506583509E-3</v>
      </c>
    </row>
    <row r="185" spans="1:5" ht="15.75" x14ac:dyDescent="0.25">
      <c r="A185" s="187" t="s">
        <v>390</v>
      </c>
      <c r="B185" s="187" t="s">
        <v>209</v>
      </c>
      <c r="C185" s="187">
        <v>3558</v>
      </c>
      <c r="D185" s="189">
        <f t="shared" si="2"/>
        <v>5.6804575019397856E-3</v>
      </c>
      <c r="E185" s="208">
        <f>town_population[[#This Row],[Pop Share of State]]/(INDEX(regional_population[Pop Share of State],MATCH(town_population[[#This Row],[Regional Planning Commission]],regional_population[Regional Planning Commission],0)))</f>
        <v>0.10104796796455653</v>
      </c>
    </row>
    <row r="186" spans="1:5" ht="15.75" x14ac:dyDescent="0.25">
      <c r="A186" s="187" t="s">
        <v>391</v>
      </c>
      <c r="B186" s="187" t="s">
        <v>217</v>
      </c>
      <c r="C186" s="187">
        <v>1521</v>
      </c>
      <c r="D186" s="189">
        <f t="shared" si="2"/>
        <v>2.428323738181679E-3</v>
      </c>
      <c r="E186" s="208">
        <f>town_population[[#This Row],[Pop Share of State]]/(INDEX(regional_population[Pop Share of State],MATCH(town_population[[#This Row],[Regional Planning Commission]],regional_population[Regional Planning Commission],0)))</f>
        <v>2.7400962006161163E-2</v>
      </c>
    </row>
    <row r="187" spans="1:5" ht="15.75" x14ac:dyDescent="0.25">
      <c r="A187" s="187" t="s">
        <v>392</v>
      </c>
      <c r="B187" s="187" t="s">
        <v>203</v>
      </c>
      <c r="C187" s="187">
        <v>568</v>
      </c>
      <c r="D187" s="189">
        <f t="shared" si="2"/>
        <v>9.068296405569978E-4</v>
      </c>
      <c r="E187" s="208">
        <f>town_population[[#This Row],[Pop Share of State]]/(INDEX(regional_population[Pop Share of State],MATCH(town_population[[#This Row],[Regional Planning Commission]],regional_population[Regional Planning Commission],0)))</f>
        <v>8.806201550387598E-3</v>
      </c>
    </row>
    <row r="188" spans="1:5" ht="15.75" x14ac:dyDescent="0.25">
      <c r="A188" s="187" t="s">
        <v>393</v>
      </c>
      <c r="B188" s="187" t="s">
        <v>233</v>
      </c>
      <c r="C188" s="187">
        <v>7452</v>
      </c>
      <c r="D188" s="189">
        <f t="shared" si="2"/>
        <v>1.189734943913864E-2</v>
      </c>
      <c r="E188" s="208">
        <f>town_population[[#This Row],[Pop Share of State]]/(INDEX(regional_population[Pop Share of State],MATCH(town_population[[#This Row],[Regional Planning Commission]],regional_population[Regional Planning Commission],0)))</f>
        <v>4.6960664456851882E-2</v>
      </c>
    </row>
    <row r="189" spans="1:5" ht="15.75" x14ac:dyDescent="0.25">
      <c r="A189" s="187" t="s">
        <v>394</v>
      </c>
      <c r="B189" s="187" t="s">
        <v>205</v>
      </c>
      <c r="C189" s="187">
        <v>2329</v>
      </c>
      <c r="D189" s="189">
        <f t="shared" si="2"/>
        <v>3.7183208324951546E-3</v>
      </c>
      <c r="E189" s="208">
        <f>town_population[[#This Row],[Pop Share of State]]/(INDEX(regional_population[Pop Share of State],MATCH(town_population[[#This Row],[Regional Planning Commission]],regional_population[Regional Planning Commission],0)))</f>
        <v>4.2188207589892217E-2</v>
      </c>
    </row>
    <row r="190" spans="1:5" ht="15.75" x14ac:dyDescent="0.25">
      <c r="A190" s="187" t="s">
        <v>395</v>
      </c>
      <c r="B190" s="187" t="s">
        <v>201</v>
      </c>
      <c r="C190" s="187">
        <v>1179</v>
      </c>
      <c r="D190" s="189">
        <f t="shared" si="2"/>
        <v>1.8823101165786978E-3</v>
      </c>
      <c r="E190" s="208">
        <f>town_population[[#This Row],[Pop Share of State]]/(INDEX(regional_population[Pop Share of State],MATCH(town_population[[#This Row],[Regional Planning Commission]],regional_population[Regional Planning Commission],0)))</f>
        <v>3.2587064676616914E-2</v>
      </c>
    </row>
    <row r="191" spans="1:5" ht="15.75" x14ac:dyDescent="0.25">
      <c r="A191" s="187" t="s">
        <v>396</v>
      </c>
      <c r="B191" s="187" t="s">
        <v>227</v>
      </c>
      <c r="C191" s="187">
        <v>1158</v>
      </c>
      <c r="D191" s="189">
        <f t="shared" si="2"/>
        <v>1.8487829643750061E-3</v>
      </c>
      <c r="E191" s="208">
        <f>town_population[[#This Row],[Pop Share of State]]/(INDEX(regional_population[Pop Share of State],MATCH(town_population[[#This Row],[Regional Planning Commission]],regional_population[Regional Planning Commission],0)))</f>
        <v>1.9220874068418346E-2</v>
      </c>
    </row>
    <row r="192" spans="1:5" ht="15.75" x14ac:dyDescent="0.25">
      <c r="A192" s="187" t="s">
        <v>397</v>
      </c>
      <c r="B192" s="187" t="s">
        <v>211</v>
      </c>
      <c r="C192" s="187">
        <v>7</v>
      </c>
      <c r="D192" s="189">
        <f t="shared" si="2"/>
        <v>1.1175717401230607E-5</v>
      </c>
      <c r="E192" s="208">
        <f>town_population[[#This Row],[Pop Share of State]]/(INDEX(regional_population[Pop Share of State],MATCH(town_population[[#This Row],[Regional Planning Commission]],regional_population[Regional Planning Commission],0)))</f>
        <v>1.5159390159390161E-4</v>
      </c>
    </row>
    <row r="193" spans="1:5" ht="15.75" x14ac:dyDescent="0.25">
      <c r="A193" s="187" t="s">
        <v>398</v>
      </c>
      <c r="B193" s="187" t="s">
        <v>233</v>
      </c>
      <c r="C193" s="187">
        <v>18378</v>
      </c>
      <c r="D193" s="189">
        <f t="shared" si="2"/>
        <v>2.9341047771402298E-2</v>
      </c>
      <c r="E193" s="208">
        <f>town_population[[#This Row],[Pop Share of State]]/(INDEX(regional_population[Pop Share of State],MATCH(town_population[[#This Row],[Regional Planning Commission]],regional_population[Regional Planning Commission],0)))</f>
        <v>0.11581361934890283</v>
      </c>
    </row>
    <row r="194" spans="1:5" ht="15.75" x14ac:dyDescent="0.25">
      <c r="A194" s="187" t="s">
        <v>399</v>
      </c>
      <c r="B194" s="187" t="s">
        <v>205</v>
      </c>
      <c r="C194" s="187">
        <v>1576</v>
      </c>
      <c r="D194" s="189">
        <f t="shared" ref="D194:D256" si="3">C194/SUM($C$2:$C$256)</f>
        <v>2.5161329463342049E-3</v>
      </c>
      <c r="E194" s="208">
        <f>town_population[[#This Row],[Pop Share of State]]/(INDEX(regional_population[Pop Share of State],MATCH(town_population[[#This Row],[Regional Planning Commission]],regional_population[Regional Planning Commission],0)))</f>
        <v>2.8548138755547504E-2</v>
      </c>
    </row>
    <row r="195" spans="1:5" ht="15.75" x14ac:dyDescent="0.25">
      <c r="A195" s="187" t="s">
        <v>400</v>
      </c>
      <c r="B195" s="187" t="s">
        <v>207</v>
      </c>
      <c r="C195" s="187">
        <v>9301</v>
      </c>
      <c r="D195" s="189">
        <f t="shared" si="3"/>
        <v>1.4849335364120838E-2</v>
      </c>
      <c r="E195" s="208">
        <f>town_population[[#This Row],[Pop Share of State]]/(INDEX(regional_population[Pop Share of State],MATCH(town_population[[#This Row],[Regional Planning Commission]],regional_population[Regional Planning Commission],0)))</f>
        <v>0.37269594486295882</v>
      </c>
    </row>
    <row r="196" spans="1:5" ht="15.75" x14ac:dyDescent="0.25">
      <c r="A196" s="187" t="s">
        <v>404</v>
      </c>
      <c r="B196" s="187" t="s">
        <v>209</v>
      </c>
      <c r="C196" s="187">
        <v>878</v>
      </c>
      <c r="D196" s="189">
        <f t="shared" si="3"/>
        <v>1.4017542683257818E-3</v>
      </c>
      <c r="E196" s="208">
        <f>town_population[[#This Row],[Pop Share of State]]/(INDEX(regional_population[Pop Share of State],MATCH(town_population[[#This Row],[Regional Planning Commission]],regional_population[Regional Planning Commission],0)))</f>
        <v>2.4935389508960269E-2</v>
      </c>
    </row>
    <row r="197" spans="1:5" ht="15.75" x14ac:dyDescent="0.25">
      <c r="A197" s="187" t="s">
        <v>405</v>
      </c>
      <c r="B197" s="187" t="s">
        <v>203</v>
      </c>
      <c r="C197" s="187">
        <v>278</v>
      </c>
      <c r="D197" s="189">
        <f t="shared" si="3"/>
        <v>4.4383563393458691E-4</v>
      </c>
      <c r="E197" s="208">
        <f>town_population[[#This Row],[Pop Share of State]]/(INDEX(regional_population[Pop Share of State],MATCH(town_population[[#This Row],[Regional Planning Commission]],regional_population[Regional Planning Commission],0)))</f>
        <v>4.3100775193798454E-3</v>
      </c>
    </row>
    <row r="198" spans="1:5" ht="15.75" x14ac:dyDescent="0.25">
      <c r="A198" s="187" t="s">
        <v>406</v>
      </c>
      <c r="B198" s="187" t="s">
        <v>201</v>
      </c>
      <c r="C198" s="187">
        <v>1762</v>
      </c>
      <c r="D198" s="189">
        <f t="shared" si="3"/>
        <v>2.8130877229954753E-3</v>
      </c>
      <c r="E198" s="208">
        <f>town_population[[#This Row],[Pop Share of State]]/(INDEX(regional_population[Pop Share of State],MATCH(town_population[[#This Row],[Regional Planning Commission]],regional_population[Regional Planning Commission],0)))</f>
        <v>4.870093974571587E-2</v>
      </c>
    </row>
    <row r="199" spans="1:5" ht="15.75" x14ac:dyDescent="0.25">
      <c r="A199" s="187" t="s">
        <v>407</v>
      </c>
      <c r="B199" s="187" t="s">
        <v>217</v>
      </c>
      <c r="C199" s="187">
        <v>735</v>
      </c>
      <c r="D199" s="189">
        <f t="shared" si="3"/>
        <v>1.1734503271292136E-3</v>
      </c>
      <c r="E199" s="208">
        <f>town_population[[#This Row],[Pop Share of State]]/(INDEX(regional_population[Pop Share of State],MATCH(town_population[[#This Row],[Regional Planning Commission]],regional_population[Regional Planning Commission],0)))</f>
        <v>1.3241096038480244E-2</v>
      </c>
    </row>
    <row r="200" spans="1:5" ht="15.75" x14ac:dyDescent="0.25">
      <c r="A200" s="187" t="s">
        <v>408</v>
      </c>
      <c r="B200" s="187" t="s">
        <v>224</v>
      </c>
      <c r="C200" s="187">
        <v>4371</v>
      </c>
      <c r="D200" s="189">
        <f t="shared" si="3"/>
        <v>6.9784372515398546E-3</v>
      </c>
      <c r="E200" s="208">
        <f>town_population[[#This Row],[Pop Share of State]]/(INDEX(regional_population[Pop Share of State],MATCH(town_population[[#This Row],[Regional Planning Commission]],regional_population[Regional Planning Commission],0)))</f>
        <v>0.17594493418669241</v>
      </c>
    </row>
    <row r="201" spans="1:5" ht="15.75" x14ac:dyDescent="0.25">
      <c r="A201" s="187" t="s">
        <v>409</v>
      </c>
      <c r="B201" s="187" t="s">
        <v>217</v>
      </c>
      <c r="C201" s="187">
        <v>1037</v>
      </c>
      <c r="D201" s="189">
        <f t="shared" si="3"/>
        <v>1.6556027064394483E-3</v>
      </c>
      <c r="E201" s="208">
        <f>town_population[[#This Row],[Pop Share of State]]/(INDEX(regional_population[Pop Share of State],MATCH(town_population[[#This Row],[Regional Planning Commission]],regional_population[Regional Planning Commission],0)))</f>
        <v>1.868165522708029E-2</v>
      </c>
    </row>
    <row r="202" spans="1:5" ht="15.75" x14ac:dyDescent="0.25">
      <c r="A202" s="187" t="s">
        <v>410</v>
      </c>
      <c r="B202" s="187" t="s">
        <v>211</v>
      </c>
      <c r="C202" s="187">
        <v>171</v>
      </c>
      <c r="D202" s="189">
        <f t="shared" si="3"/>
        <v>2.7300681080149052E-4</v>
      </c>
      <c r="E202" s="208">
        <f>town_population[[#This Row],[Pop Share of State]]/(INDEX(regional_population[Pop Share of State],MATCH(town_population[[#This Row],[Regional Planning Commission]],regional_population[Regional Planning Commission],0)))</f>
        <v>3.7032224532224534E-3</v>
      </c>
    </row>
    <row r="203" spans="1:5" ht="15.75" x14ac:dyDescent="0.25">
      <c r="A203" s="187" t="s">
        <v>411</v>
      </c>
      <c r="B203" s="187" t="s">
        <v>227</v>
      </c>
      <c r="C203" s="187">
        <v>499</v>
      </c>
      <c r="D203" s="189">
        <f t="shared" si="3"/>
        <v>7.9666899760201038E-4</v>
      </c>
      <c r="E203" s="208">
        <f>town_population[[#This Row],[Pop Share of State]]/(INDEX(regional_population[Pop Share of State],MATCH(town_population[[#This Row],[Regional Planning Commission]],regional_population[Regional Planning Commission],0)))</f>
        <v>8.2825700864773352E-3</v>
      </c>
    </row>
    <row r="204" spans="1:5" ht="15.75" x14ac:dyDescent="0.25">
      <c r="A204" s="187" t="s">
        <v>412</v>
      </c>
      <c r="B204" s="187" t="s">
        <v>209</v>
      </c>
      <c r="C204" s="187">
        <v>934</v>
      </c>
      <c r="D204" s="189">
        <f t="shared" si="3"/>
        <v>1.4911600075356267E-3</v>
      </c>
      <c r="E204" s="208">
        <f>town_population[[#This Row],[Pop Share of State]]/(INDEX(regional_population[Pop Share of State],MATCH(town_population[[#This Row],[Regional Planning Commission]],regional_population[Regional Planning Commission],0)))</f>
        <v>2.6525801596092129E-2</v>
      </c>
    </row>
    <row r="205" spans="1:5" ht="15.75" x14ac:dyDescent="0.25">
      <c r="A205" s="187" t="s">
        <v>413</v>
      </c>
      <c r="B205" s="187" t="s">
        <v>203</v>
      </c>
      <c r="C205" s="187">
        <v>948</v>
      </c>
      <c r="D205" s="189">
        <f t="shared" si="3"/>
        <v>1.5135114423380878E-3</v>
      </c>
      <c r="E205" s="208">
        <f>town_population[[#This Row],[Pop Share of State]]/(INDEX(regional_population[Pop Share of State],MATCH(town_population[[#This Row],[Regional Planning Commission]],regional_population[Regional Planning Commission],0)))</f>
        <v>1.4697674418604652E-2</v>
      </c>
    </row>
    <row r="206" spans="1:5" ht="15.75" x14ac:dyDescent="0.25">
      <c r="A206" s="187" t="s">
        <v>414</v>
      </c>
      <c r="B206" s="187" t="s">
        <v>205</v>
      </c>
      <c r="C206" s="187">
        <v>6433</v>
      </c>
      <c r="D206" s="189">
        <f t="shared" si="3"/>
        <v>1.0270484291730927E-2</v>
      </c>
      <c r="E206" s="208">
        <f>town_population[[#This Row],[Pop Share of State]]/(INDEX(regional_population[Pop Share of State],MATCH(town_population[[#This Row],[Regional Planning Commission]],regional_population[Regional Planning Commission],0)))</f>
        <v>0.11652929988225705</v>
      </c>
    </row>
    <row r="207" spans="1:5" ht="15.75" x14ac:dyDescent="0.25">
      <c r="A207" s="187" t="s">
        <v>415</v>
      </c>
      <c r="B207" s="187" t="s">
        <v>217</v>
      </c>
      <c r="C207" s="187">
        <v>2589</v>
      </c>
      <c r="D207" s="189">
        <f t="shared" si="3"/>
        <v>4.1334189073980055E-3</v>
      </c>
      <c r="E207" s="208">
        <f>town_population[[#This Row],[Pop Share of State]]/(INDEX(regional_population[Pop Share of State],MATCH(town_population[[#This Row],[Regional Planning Commission]],regional_population[Regional Planning Commission],0)))</f>
        <v>4.6641085229422251E-2</v>
      </c>
    </row>
    <row r="208" spans="1:5" ht="15.75" x14ac:dyDescent="0.25">
      <c r="A208" s="187" t="s">
        <v>416</v>
      </c>
      <c r="B208" s="187" t="s">
        <v>227</v>
      </c>
      <c r="C208" s="187">
        <v>558</v>
      </c>
      <c r="D208" s="189">
        <f t="shared" si="3"/>
        <v>8.9086432998381122E-4</v>
      </c>
      <c r="E208" s="208">
        <f>town_population[[#This Row],[Pop Share of State]]/(INDEX(regional_population[Pop Share of State],MATCH(town_population[[#This Row],[Regional Planning Commission]],regional_population[Regional Planning Commission],0)))</f>
        <v>9.2618719604295654E-3</v>
      </c>
    </row>
    <row r="209" spans="1:5" ht="15.75" x14ac:dyDescent="0.25">
      <c r="A209" s="187" t="s">
        <v>417</v>
      </c>
      <c r="B209" s="187" t="s">
        <v>217</v>
      </c>
      <c r="C209" s="187">
        <v>1228</v>
      </c>
      <c r="D209" s="189">
        <f t="shared" si="3"/>
        <v>1.9605401383873122E-3</v>
      </c>
      <c r="E209" s="208">
        <f>town_population[[#This Row],[Pop Share of State]]/(INDEX(regional_population[Pop Share of State],MATCH(town_population[[#This Row],[Regional Planning Commission]],regional_population[Regional Planning Commission],0)))</f>
        <v>2.2122538687420056E-2</v>
      </c>
    </row>
    <row r="210" spans="1:5" ht="15.75" x14ac:dyDescent="0.25">
      <c r="A210" s="187" t="s">
        <v>418</v>
      </c>
      <c r="B210" s="187" t="s">
        <v>211</v>
      </c>
      <c r="C210" s="187">
        <v>1126</v>
      </c>
      <c r="D210" s="189">
        <f t="shared" si="3"/>
        <v>1.7976939705408089E-3</v>
      </c>
      <c r="E210" s="208">
        <f>town_population[[#This Row],[Pop Share of State]]/(INDEX(regional_population[Pop Share of State],MATCH(town_population[[#This Row],[Regional Planning Commission]],regional_population[Regional Planning Commission],0)))</f>
        <v>2.4384961884961885E-2</v>
      </c>
    </row>
    <row r="211" spans="1:5" ht="15.75" x14ac:dyDescent="0.25">
      <c r="A211" s="187" t="s">
        <v>419</v>
      </c>
      <c r="B211" s="187" t="s">
        <v>203</v>
      </c>
      <c r="C211" s="187">
        <v>1413</v>
      </c>
      <c r="D211" s="189">
        <f t="shared" si="3"/>
        <v>2.2558983839912638E-3</v>
      </c>
      <c r="E211" s="208">
        <f>town_population[[#This Row],[Pop Share of State]]/(INDEX(regional_population[Pop Share of State],MATCH(town_population[[#This Row],[Regional Planning Commission]],regional_population[Regional Planning Commission],0)))</f>
        <v>2.1906976744186048E-2</v>
      </c>
    </row>
    <row r="212" spans="1:5" ht="15.75" x14ac:dyDescent="0.25">
      <c r="A212" s="187" t="s">
        <v>420</v>
      </c>
      <c r="B212" s="187" t="s">
        <v>217</v>
      </c>
      <c r="C212" s="187">
        <v>1237</v>
      </c>
      <c r="D212" s="189">
        <f t="shared" si="3"/>
        <v>1.9749089179031802E-3</v>
      </c>
      <c r="E212" s="208">
        <f>town_population[[#This Row],[Pop Share of State]]/(INDEX(regional_population[Pop Share of State],MATCH(town_population[[#This Row],[Regional Planning Commission]],regional_population[Regional Planning Commission],0)))</f>
        <v>2.2284674557278998E-2</v>
      </c>
    </row>
    <row r="213" spans="1:5" ht="15.75" x14ac:dyDescent="0.25">
      <c r="A213" s="187" t="s">
        <v>421</v>
      </c>
      <c r="B213" s="187" t="s">
        <v>233</v>
      </c>
      <c r="C213" s="187">
        <v>3040</v>
      </c>
      <c r="D213" s="189">
        <f t="shared" si="3"/>
        <v>4.8534544142487205E-3</v>
      </c>
      <c r="E213" s="208">
        <f>town_population[[#This Row],[Pop Share of State]]/(INDEX(regional_population[Pop Share of State],MATCH(town_population[[#This Row],[Regional Planning Commission]],regional_population[Regional Planning Commission],0)))</f>
        <v>1.9157329569086116E-2</v>
      </c>
    </row>
    <row r="214" spans="1:5" ht="15.75" x14ac:dyDescent="0.25">
      <c r="A214" s="187" t="s">
        <v>422</v>
      </c>
      <c r="B214" s="187" t="s">
        <v>201</v>
      </c>
      <c r="C214" s="187">
        <v>2579</v>
      </c>
      <c r="D214" s="189">
        <f t="shared" si="3"/>
        <v>4.1174535968248188E-3</v>
      </c>
      <c r="E214" s="208">
        <f>town_population[[#This Row],[Pop Share of State]]/(INDEX(regional_population[Pop Share of State],MATCH(town_population[[#This Row],[Regional Planning Commission]],regional_population[Regional Planning Commission],0)))</f>
        <v>7.1282476506357106E-2</v>
      </c>
    </row>
    <row r="215" spans="1:5" ht="15.75" x14ac:dyDescent="0.25">
      <c r="A215" s="187" t="s">
        <v>423</v>
      </c>
      <c r="B215" s="187" t="s">
        <v>211</v>
      </c>
      <c r="C215" s="187">
        <v>2027</v>
      </c>
      <c r="D215" s="189">
        <f t="shared" si="3"/>
        <v>3.2361684531849199E-3</v>
      </c>
      <c r="E215" s="208">
        <f>town_population[[#This Row],[Pop Share of State]]/(INDEX(regional_population[Pop Share of State],MATCH(town_population[[#This Row],[Regional Planning Commission]],regional_population[Regional Planning Commission],0)))</f>
        <v>4.3897262647262653E-2</v>
      </c>
    </row>
    <row r="216" spans="1:5" ht="15.75" x14ac:dyDescent="0.25">
      <c r="A216" s="187" t="s">
        <v>424</v>
      </c>
      <c r="B216" s="187" t="s">
        <v>217</v>
      </c>
      <c r="C216" s="187">
        <v>679</v>
      </c>
      <c r="D216" s="189">
        <f t="shared" si="3"/>
        <v>1.0840445879193687E-3</v>
      </c>
      <c r="E216" s="208">
        <f>town_population[[#This Row],[Pop Share of State]]/(INDEX(regional_population[Pop Share of State],MATCH(town_population[[#This Row],[Regional Planning Commission]],regional_population[Regional Planning Commission],0)))</f>
        <v>1.2232250626024605E-2</v>
      </c>
    </row>
    <row r="217" spans="1:5" ht="15.75" x14ac:dyDescent="0.25">
      <c r="A217" s="187" t="s">
        <v>425</v>
      </c>
      <c r="B217" s="187" t="s">
        <v>203</v>
      </c>
      <c r="C217" s="187">
        <v>108</v>
      </c>
      <c r="D217" s="189">
        <f t="shared" si="3"/>
        <v>1.7242535419041506E-4</v>
      </c>
      <c r="E217" s="208">
        <f>town_population[[#This Row],[Pop Share of State]]/(INDEX(regional_population[Pop Share of State],MATCH(town_population[[#This Row],[Regional Planning Commission]],regional_population[Regional Planning Commission],0)))</f>
        <v>1.6744186046511629E-3</v>
      </c>
    </row>
    <row r="218" spans="1:5" ht="15.75" x14ac:dyDescent="0.25">
      <c r="A218" s="187" t="s">
        <v>426</v>
      </c>
      <c r="B218" s="187" t="s">
        <v>220</v>
      </c>
      <c r="C218" s="187">
        <v>1607</v>
      </c>
      <c r="D218" s="189">
        <f t="shared" si="3"/>
        <v>2.5656254091110833E-3</v>
      </c>
      <c r="E218" s="208">
        <f>town_population[[#This Row],[Pop Share of State]]/(INDEX(regional_population[Pop Share of State],MATCH(town_population[[#This Row],[Regional Planning Commission]],regional_population[Regional Planning Commission],0)))</f>
        <v>2.4782172873775925E-2</v>
      </c>
    </row>
    <row r="219" spans="1:5" ht="15.75" x14ac:dyDescent="0.25">
      <c r="A219" s="187" t="s">
        <v>427</v>
      </c>
      <c r="B219" s="187" t="s">
        <v>203</v>
      </c>
      <c r="C219" s="187">
        <v>1044</v>
      </c>
      <c r="D219" s="189">
        <f t="shared" si="3"/>
        <v>1.666778423840679E-3</v>
      </c>
      <c r="E219" s="208">
        <f>town_population[[#This Row],[Pop Share of State]]/(INDEX(regional_population[Pop Share of State],MATCH(town_population[[#This Row],[Regional Planning Commission]],regional_population[Regional Planning Commission],0)))</f>
        <v>1.6186046511627909E-2</v>
      </c>
    </row>
    <row r="220" spans="1:5" ht="15.75" x14ac:dyDescent="0.25">
      <c r="A220" s="187" t="s">
        <v>428</v>
      </c>
      <c r="B220" s="187" t="s">
        <v>227</v>
      </c>
      <c r="C220" s="187">
        <v>2098</v>
      </c>
      <c r="D220" s="189">
        <f t="shared" si="3"/>
        <v>3.3495221582545446E-3</v>
      </c>
      <c r="E220" s="208">
        <f>town_population[[#This Row],[Pop Share of State]]/(INDEX(regional_population[Pop Share of State],MATCH(town_population[[#This Row],[Regional Planning Commission]],regional_population[Regional Planning Commission],0)))</f>
        <v>3.4823310704267432E-2</v>
      </c>
    </row>
    <row r="221" spans="1:5" ht="15.75" x14ac:dyDescent="0.25">
      <c r="A221" s="187" t="s">
        <v>429</v>
      </c>
      <c r="B221" s="187" t="s">
        <v>201</v>
      </c>
      <c r="C221" s="187">
        <v>486</v>
      </c>
      <c r="D221" s="189">
        <f t="shared" si="3"/>
        <v>7.7591409385686775E-4</v>
      </c>
      <c r="E221" s="208">
        <f>town_population[[#This Row],[Pop Share of State]]/(INDEX(regional_population[Pop Share of State],MATCH(town_population[[#This Row],[Regional Planning Commission]],regional_population[Regional Planning Commission],0)))</f>
        <v>1.3432835820895522E-2</v>
      </c>
    </row>
    <row r="222" spans="1:5" ht="15.75" x14ac:dyDescent="0.25">
      <c r="A222" s="187" t="s">
        <v>430</v>
      </c>
      <c r="B222" s="187" t="s">
        <v>211</v>
      </c>
      <c r="C222" s="187">
        <v>694</v>
      </c>
      <c r="D222" s="189">
        <f t="shared" si="3"/>
        <v>1.1079925537791488E-3</v>
      </c>
      <c r="E222" s="208">
        <f>town_population[[#This Row],[Pop Share of State]]/(INDEX(regional_population[Pop Share of State],MATCH(town_population[[#This Row],[Regional Planning Commission]],regional_population[Regional Planning Commission],0)))</f>
        <v>1.5029452529452531E-2</v>
      </c>
    </row>
    <row r="223" spans="1:5" ht="15.75" x14ac:dyDescent="0.25">
      <c r="A223" s="187" t="s">
        <v>431</v>
      </c>
      <c r="B223" s="187" t="s">
        <v>203</v>
      </c>
      <c r="C223" s="187">
        <v>0</v>
      </c>
      <c r="D223" s="189">
        <f t="shared" si="3"/>
        <v>0</v>
      </c>
      <c r="E223" s="208">
        <f>town_population[[#This Row],[Pop Share of State]]/(INDEX(regional_population[Pop Share of State],MATCH(town_population[[#This Row],[Regional Planning Commission]],regional_population[Regional Planning Commission],0)))</f>
        <v>0</v>
      </c>
    </row>
    <row r="224" spans="1:5" ht="15.75" x14ac:dyDescent="0.25">
      <c r="A224" s="187" t="s">
        <v>432</v>
      </c>
      <c r="B224" s="187" t="s">
        <v>220</v>
      </c>
      <c r="C224" s="187">
        <v>1651</v>
      </c>
      <c r="D224" s="189">
        <f t="shared" si="3"/>
        <v>2.6358727756331042E-3</v>
      </c>
      <c r="E224" s="208">
        <f>town_population[[#This Row],[Pop Share of State]]/(INDEX(regional_population[Pop Share of State],MATCH(town_population[[#This Row],[Regional Planning Commission]],regional_population[Regional Planning Commission],0)))</f>
        <v>2.5460714010332328E-2</v>
      </c>
    </row>
    <row r="225" spans="1:5" ht="15.75" x14ac:dyDescent="0.25">
      <c r="A225" s="187" t="s">
        <v>433</v>
      </c>
      <c r="B225" s="187" t="s">
        <v>203</v>
      </c>
      <c r="C225" s="187">
        <v>4</v>
      </c>
      <c r="D225" s="189">
        <f t="shared" si="3"/>
        <v>6.3861242292746321E-6</v>
      </c>
      <c r="E225" s="208">
        <f>town_population[[#This Row],[Pop Share of State]]/(INDEX(regional_population[Pop Share of State],MATCH(town_population[[#This Row],[Regional Planning Commission]],regional_population[Regional Planning Commission],0)))</f>
        <v>6.2015503875968993E-5</v>
      </c>
    </row>
    <row r="226" spans="1:5" ht="15.75" x14ac:dyDescent="0.25">
      <c r="A226" s="187" t="s">
        <v>434</v>
      </c>
      <c r="B226" s="187" t="s">
        <v>220</v>
      </c>
      <c r="C226" s="187">
        <v>1067</v>
      </c>
      <c r="D226" s="189">
        <f t="shared" si="3"/>
        <v>1.7034986381590082E-3</v>
      </c>
      <c r="E226" s="208">
        <f>town_population[[#This Row],[Pop Share of State]]/(INDEX(regional_population[Pop Share of State],MATCH(town_population[[#This Row],[Regional Planning Commission]],regional_population[Regional Planning Commission],0)))</f>
        <v>1.6454622561492792E-2</v>
      </c>
    </row>
    <row r="227" spans="1:5" ht="15.75" x14ac:dyDescent="0.25">
      <c r="A227" s="187" t="s">
        <v>435</v>
      </c>
      <c r="B227" s="187" t="s">
        <v>220</v>
      </c>
      <c r="C227" s="187">
        <v>5083</v>
      </c>
      <c r="D227" s="189">
        <f t="shared" si="3"/>
        <v>8.1151673643507383E-3</v>
      </c>
      <c r="E227" s="208">
        <f>town_population[[#This Row],[Pop Share of State]]/(INDEX(regional_population[Pop Share of State],MATCH(town_population[[#This Row],[Regional Planning Commission]],regional_population[Regional Planning Commission],0)))</f>
        <v>7.838692266173182E-2</v>
      </c>
    </row>
    <row r="228" spans="1:5" ht="15.75" x14ac:dyDescent="0.25">
      <c r="A228" s="187" t="s">
        <v>436</v>
      </c>
      <c r="B228" s="187" t="s">
        <v>203</v>
      </c>
      <c r="C228" s="187">
        <v>1489</v>
      </c>
      <c r="D228" s="189">
        <f t="shared" si="3"/>
        <v>2.3772347443474819E-3</v>
      </c>
      <c r="E228" s="208">
        <f>town_population[[#This Row],[Pop Share of State]]/(INDEX(regional_population[Pop Share of State],MATCH(town_population[[#This Row],[Regional Planning Commission]],regional_population[Regional Planning Commission],0)))</f>
        <v>2.3085271317829462E-2</v>
      </c>
    </row>
    <row r="229" spans="1:5" ht="15.75" x14ac:dyDescent="0.25">
      <c r="A229" s="187" t="s">
        <v>437</v>
      </c>
      <c r="B229" s="187" t="s">
        <v>224</v>
      </c>
      <c r="C229" s="187">
        <v>724</v>
      </c>
      <c r="D229" s="189">
        <f t="shared" si="3"/>
        <v>1.1558884854987084E-3</v>
      </c>
      <c r="E229" s="208">
        <f>town_population[[#This Row],[Pop Share of State]]/(INDEX(regional_population[Pop Share of State],MATCH(town_population[[#This Row],[Regional Planning Commission]],regional_population[Regional Planning Commission],0)))</f>
        <v>2.9143018154007161E-2</v>
      </c>
    </row>
    <row r="230" spans="1:5" ht="15.75" x14ac:dyDescent="0.25">
      <c r="A230" s="187" t="s">
        <v>438</v>
      </c>
      <c r="B230" s="187" t="s">
        <v>207</v>
      </c>
      <c r="C230" s="187">
        <v>2813</v>
      </c>
      <c r="D230" s="189">
        <f t="shared" si="3"/>
        <v>4.4910418642373851E-3</v>
      </c>
      <c r="E230" s="208">
        <f>town_population[[#This Row],[Pop Share of State]]/(INDEX(regional_population[Pop Share of State],MATCH(town_population[[#This Row],[Regional Planning Commission]],regional_population[Regional Planning Commission],0)))</f>
        <v>0.11271838435646739</v>
      </c>
    </row>
    <row r="231" spans="1:5" ht="15.75" x14ac:dyDescent="0.25">
      <c r="A231" s="187" t="s">
        <v>439</v>
      </c>
      <c r="B231" s="187" t="s">
        <v>227</v>
      </c>
      <c r="C231" s="187">
        <v>1116</v>
      </c>
      <c r="D231" s="189">
        <f t="shared" si="3"/>
        <v>1.7817286599676224E-3</v>
      </c>
      <c r="E231" s="208">
        <f>town_population[[#This Row],[Pop Share of State]]/(INDEX(regional_population[Pop Share of State],MATCH(town_population[[#This Row],[Regional Planning Commission]],regional_population[Regional Planning Commission],0)))</f>
        <v>1.8523743920859131E-2</v>
      </c>
    </row>
    <row r="232" spans="1:5" ht="15.75" x14ac:dyDescent="0.25">
      <c r="A232" s="187" t="s">
        <v>440</v>
      </c>
      <c r="B232" s="187" t="s">
        <v>217</v>
      </c>
      <c r="C232" s="187">
        <v>650</v>
      </c>
      <c r="D232" s="189">
        <f t="shared" si="3"/>
        <v>1.0377451872571276E-3</v>
      </c>
      <c r="E232" s="208">
        <f>town_population[[#This Row],[Pop Share of State]]/(INDEX(regional_population[Pop Share of State],MATCH(town_population[[#This Row],[Regional Planning Commission]],regional_population[Regional Planning Commission],0)))</f>
        <v>1.1709812823145793E-2</v>
      </c>
    </row>
    <row r="233" spans="1:5" ht="15.75" x14ac:dyDescent="0.25">
      <c r="A233" s="187" t="s">
        <v>441</v>
      </c>
      <c r="B233" s="187" t="s">
        <v>227</v>
      </c>
      <c r="C233" s="187">
        <v>290</v>
      </c>
      <c r="D233" s="189">
        <f t="shared" si="3"/>
        <v>4.6299400662241084E-4</v>
      </c>
      <c r="E233" s="208">
        <f>town_population[[#This Row],[Pop Share of State]]/(INDEX(regional_population[Pop Share of State],MATCH(town_population[[#This Row],[Regional Planning Commission]],regional_population[Regional Planning Commission],0)))</f>
        <v>4.8135176855279103E-3</v>
      </c>
    </row>
    <row r="234" spans="1:5" ht="15.75" x14ac:dyDescent="0.25">
      <c r="A234" s="187" t="s">
        <v>442</v>
      </c>
      <c r="B234" s="187" t="s">
        <v>227</v>
      </c>
      <c r="C234" s="187">
        <v>2335</v>
      </c>
      <c r="D234" s="189">
        <f t="shared" si="3"/>
        <v>3.7279000188390663E-3</v>
      </c>
      <c r="E234" s="208">
        <f>town_population[[#This Row],[Pop Share of State]]/(INDEX(regional_population[Pop Share of State],MATCH(town_population[[#This Row],[Regional Planning Commission]],regional_population[Regional Planning Commission],0)))</f>
        <v>3.8757116536923E-2</v>
      </c>
    </row>
    <row r="235" spans="1:5" ht="15.75" x14ac:dyDescent="0.25">
      <c r="A235" s="187" t="s">
        <v>443</v>
      </c>
      <c r="B235" s="187" t="s">
        <v>207</v>
      </c>
      <c r="C235" s="187">
        <v>1094</v>
      </c>
      <c r="D235" s="189">
        <f t="shared" si="3"/>
        <v>1.746604976706612E-3</v>
      </c>
      <c r="E235" s="208">
        <f>town_population[[#This Row],[Pop Share of State]]/(INDEX(regional_population[Pop Share of State],MATCH(town_population[[#This Row],[Regional Planning Commission]],regional_population[Regional Planning Commission],0)))</f>
        <v>4.3837153389966348E-2</v>
      </c>
    </row>
    <row r="236" spans="1:5" ht="15.75" x14ac:dyDescent="0.25">
      <c r="A236" s="187" t="s">
        <v>444</v>
      </c>
      <c r="B236" s="187" t="s">
        <v>203</v>
      </c>
      <c r="C236" s="187">
        <v>534</v>
      </c>
      <c r="D236" s="189">
        <f t="shared" si="3"/>
        <v>8.5254758460816336E-4</v>
      </c>
      <c r="E236" s="208">
        <f>town_population[[#This Row],[Pop Share of State]]/(INDEX(regional_population[Pop Share of State],MATCH(town_population[[#This Row],[Regional Planning Commission]],regional_population[Regional Planning Commission],0)))</f>
        <v>8.2790697674418618E-3</v>
      </c>
    </row>
    <row r="237" spans="1:5" ht="15.75" x14ac:dyDescent="0.25">
      <c r="A237" s="187" t="s">
        <v>445</v>
      </c>
      <c r="B237" s="187" t="s">
        <v>233</v>
      </c>
      <c r="C237" s="187">
        <v>1937</v>
      </c>
      <c r="D237" s="189">
        <f t="shared" si="3"/>
        <v>3.0924806580262406E-3</v>
      </c>
      <c r="E237" s="208">
        <f>town_population[[#This Row],[Pop Share of State]]/(INDEX(regional_population[Pop Share of State],MATCH(town_population[[#This Row],[Regional Planning Commission]],regional_population[Regional Planning Commission],0)))</f>
        <v>1.2206495847144672E-2</v>
      </c>
    </row>
    <row r="238" spans="1:5" ht="15.75" x14ac:dyDescent="0.25">
      <c r="A238" s="187" t="s">
        <v>446</v>
      </c>
      <c r="B238" s="187" t="s">
        <v>211</v>
      </c>
      <c r="C238" s="187">
        <v>3148</v>
      </c>
      <c r="D238" s="189">
        <f t="shared" si="3"/>
        <v>5.0258797684391357E-3</v>
      </c>
      <c r="E238" s="208">
        <f>town_population[[#This Row],[Pop Share of State]]/(INDEX(regional_population[Pop Share of State],MATCH(town_population[[#This Row],[Regional Planning Commission]],regional_population[Regional Planning Commission],0)))</f>
        <v>6.817394317394318E-2</v>
      </c>
    </row>
    <row r="239" spans="1:5" ht="15.75" x14ac:dyDescent="0.25">
      <c r="A239" s="187" t="s">
        <v>447</v>
      </c>
      <c r="B239" s="187" t="s">
        <v>203</v>
      </c>
      <c r="C239" s="187">
        <v>393</v>
      </c>
      <c r="D239" s="189">
        <f t="shared" si="3"/>
        <v>6.2743670552623258E-4</v>
      </c>
      <c r="E239" s="208">
        <f>town_population[[#This Row],[Pop Share of State]]/(INDEX(regional_population[Pop Share of State],MATCH(town_population[[#This Row],[Regional Planning Commission]],regional_population[Regional Planning Commission],0)))</f>
        <v>6.0930232558139537E-3</v>
      </c>
    </row>
    <row r="240" spans="1:5" ht="15.75" x14ac:dyDescent="0.25">
      <c r="A240" s="187" t="s">
        <v>448</v>
      </c>
      <c r="B240" s="187" t="s">
        <v>211</v>
      </c>
      <c r="C240" s="187">
        <v>598</v>
      </c>
      <c r="D240" s="189">
        <f t="shared" si="3"/>
        <v>9.5472557227655754E-4</v>
      </c>
      <c r="E240" s="208">
        <f>town_population[[#This Row],[Pop Share of State]]/(INDEX(regional_population[Pop Share of State],MATCH(town_population[[#This Row],[Regional Planning Commission]],regional_population[Regional Planning Commission],0)))</f>
        <v>1.2950450450450452E-2</v>
      </c>
    </row>
    <row r="241" spans="1:5" ht="15.75" x14ac:dyDescent="0.25">
      <c r="A241" s="187" t="s">
        <v>449</v>
      </c>
      <c r="B241" s="187" t="s">
        <v>201</v>
      </c>
      <c r="C241" s="187">
        <v>854</v>
      </c>
      <c r="D241" s="189">
        <f t="shared" si="3"/>
        <v>1.363437522950134E-3</v>
      </c>
      <c r="E241" s="208">
        <f>town_population[[#This Row],[Pop Share of State]]/(INDEX(regional_population[Pop Share of State],MATCH(town_population[[#This Row],[Regional Planning Commission]],regional_population[Regional Planning Commission],0)))</f>
        <v>2.360420121614152E-2</v>
      </c>
    </row>
    <row r="242" spans="1:5" ht="15.75" x14ac:dyDescent="0.25">
      <c r="A242" s="187" t="s">
        <v>450</v>
      </c>
      <c r="B242" s="187" t="s">
        <v>203</v>
      </c>
      <c r="C242" s="187">
        <v>866</v>
      </c>
      <c r="D242" s="189">
        <f t="shared" si="3"/>
        <v>1.3825958956379578E-3</v>
      </c>
      <c r="E242" s="208">
        <f>town_population[[#This Row],[Pop Share of State]]/(INDEX(regional_population[Pop Share of State],MATCH(town_population[[#This Row],[Regional Planning Commission]],regional_population[Regional Planning Commission],0)))</f>
        <v>1.3426356589147287E-2</v>
      </c>
    </row>
    <row r="243" spans="1:5" ht="15.75" x14ac:dyDescent="0.25">
      <c r="A243" s="187" t="s">
        <v>451</v>
      </c>
      <c r="B243" s="187" t="s">
        <v>201</v>
      </c>
      <c r="C243" s="187">
        <v>409</v>
      </c>
      <c r="D243" s="189">
        <f t="shared" si="3"/>
        <v>6.5298120244333116E-4</v>
      </c>
      <c r="E243" s="208">
        <f>town_population[[#This Row],[Pop Share of State]]/(INDEX(regional_population[Pop Share of State],MATCH(town_population[[#This Row],[Regional Planning Commission]],regional_population[Regional Planning Commission],0)))</f>
        <v>1.1304588170259814E-2</v>
      </c>
    </row>
    <row r="244" spans="1:5" ht="15.75" x14ac:dyDescent="0.25">
      <c r="A244" s="187" t="s">
        <v>452</v>
      </c>
      <c r="B244" s="187" t="s">
        <v>211</v>
      </c>
      <c r="C244" s="187">
        <v>1237</v>
      </c>
      <c r="D244" s="189">
        <f t="shared" si="3"/>
        <v>1.9749089179031802E-3</v>
      </c>
      <c r="E244" s="208">
        <f>town_population[[#This Row],[Pop Share of State]]/(INDEX(regional_population[Pop Share of State],MATCH(town_population[[#This Row],[Regional Planning Commission]],regional_population[Regional Planning Commission],0)))</f>
        <v>2.6788808038808041E-2</v>
      </c>
    </row>
    <row r="245" spans="1:5" ht="15.75" x14ac:dyDescent="0.25">
      <c r="A245" s="187" t="s">
        <v>453</v>
      </c>
      <c r="B245" s="187" t="s">
        <v>220</v>
      </c>
      <c r="C245" s="187">
        <v>3397</v>
      </c>
      <c r="D245" s="189">
        <f t="shared" si="3"/>
        <v>5.4234160017114811E-3</v>
      </c>
      <c r="E245" s="208">
        <f>town_population[[#This Row],[Pop Share of State]]/(INDEX(regional_population[Pop Share of State],MATCH(town_population[[#This Row],[Regional Planning Commission]],regional_population[Regional Planning Commission],0)))</f>
        <v>5.23864600200478E-2</v>
      </c>
    </row>
    <row r="246" spans="1:5" ht="15.75" x14ac:dyDescent="0.25">
      <c r="A246" s="187" t="s">
        <v>454</v>
      </c>
      <c r="B246" s="187" t="s">
        <v>233</v>
      </c>
      <c r="C246" s="187">
        <v>8932</v>
      </c>
      <c r="D246" s="189">
        <f t="shared" si="3"/>
        <v>1.4260215403970253E-2</v>
      </c>
      <c r="E246" s="208">
        <f>town_population[[#This Row],[Pop Share of State]]/(INDEX(regional_population[Pop Share of State],MATCH(town_population[[#This Row],[Regional Planning Commission]],regional_population[Regional Planning Commission],0)))</f>
        <v>5.6287259115485905E-2</v>
      </c>
    </row>
    <row r="247" spans="1:5" ht="15.75" x14ac:dyDescent="0.25">
      <c r="A247" s="187" t="s">
        <v>455</v>
      </c>
      <c r="B247" s="187" t="s">
        <v>211</v>
      </c>
      <c r="C247" s="187">
        <v>2257</v>
      </c>
      <c r="D247" s="189">
        <f t="shared" si="3"/>
        <v>3.6033705963682112E-3</v>
      </c>
      <c r="E247" s="208">
        <f>town_population[[#This Row],[Pop Share of State]]/(INDEX(regional_population[Pop Share of State],MATCH(town_population[[#This Row],[Regional Planning Commission]],regional_population[Regional Planning Commission],0)))</f>
        <v>4.8878205128205128E-2</v>
      </c>
    </row>
    <row r="248" spans="1:5" ht="15.75" x14ac:dyDescent="0.25">
      <c r="A248" s="187" t="s">
        <v>456</v>
      </c>
      <c r="B248" s="187" t="s">
        <v>211</v>
      </c>
      <c r="C248" s="187">
        <v>422</v>
      </c>
      <c r="D248" s="189">
        <f t="shared" si="3"/>
        <v>6.7373610618847368E-4</v>
      </c>
      <c r="E248" s="208">
        <f>town_population[[#This Row],[Pop Share of State]]/(INDEX(regional_population[Pop Share of State],MATCH(town_population[[#This Row],[Regional Planning Commission]],regional_population[Regional Planning Commission],0)))</f>
        <v>9.1389466389466389E-3</v>
      </c>
    </row>
    <row r="249" spans="1:5" ht="15.75" x14ac:dyDescent="0.25">
      <c r="A249" s="187" t="s">
        <v>457</v>
      </c>
      <c r="B249" s="187" t="s">
        <v>207</v>
      </c>
      <c r="C249" s="187">
        <v>3504</v>
      </c>
      <c r="D249" s="189">
        <f t="shared" si="3"/>
        <v>5.594244824844578E-3</v>
      </c>
      <c r="E249" s="208">
        <f>town_population[[#This Row],[Pop Share of State]]/(INDEX(regional_population[Pop Share of State],MATCH(town_population[[#This Row],[Regional Planning Commission]],regional_population[Regional Planning Commission],0)))</f>
        <v>0.14040711652508417</v>
      </c>
    </row>
    <row r="250" spans="1:5" ht="15.75" x14ac:dyDescent="0.25">
      <c r="A250" s="187" t="s">
        <v>458</v>
      </c>
      <c r="B250" s="187" t="s">
        <v>211</v>
      </c>
      <c r="C250" s="187">
        <v>654</v>
      </c>
      <c r="D250" s="189">
        <f t="shared" si="3"/>
        <v>1.0441313114864024E-3</v>
      </c>
      <c r="E250" s="208">
        <f>town_population[[#This Row],[Pop Share of State]]/(INDEX(regional_population[Pop Share of State],MATCH(town_population[[#This Row],[Regional Planning Commission]],regional_population[Regional Planning Commission],0)))</f>
        <v>1.4163201663201666E-2</v>
      </c>
    </row>
    <row r="251" spans="1:5" ht="15.75" x14ac:dyDescent="0.25">
      <c r="A251" s="187" t="s">
        <v>459</v>
      </c>
      <c r="B251" s="187" t="s">
        <v>233</v>
      </c>
      <c r="C251" s="187">
        <v>7250</v>
      </c>
      <c r="D251" s="189">
        <f t="shared" si="3"/>
        <v>1.1574850165560271E-2</v>
      </c>
      <c r="E251" s="208">
        <f>town_population[[#This Row],[Pop Share of State]]/(INDEX(regional_population[Pop Share of State],MATCH(town_population[[#This Row],[Regional Planning Commission]],regional_population[Regional Planning Commission],0)))</f>
        <v>4.5687710321011293E-2</v>
      </c>
    </row>
    <row r="252" spans="1:5" ht="15.75" x14ac:dyDescent="0.25">
      <c r="A252" s="187" t="s">
        <v>460</v>
      </c>
      <c r="B252" s="187" t="s">
        <v>224</v>
      </c>
      <c r="C252" s="187">
        <v>1556</v>
      </c>
      <c r="D252" s="189">
        <f t="shared" si="3"/>
        <v>2.484202325187832E-3</v>
      </c>
      <c r="E252" s="208">
        <f>town_population[[#This Row],[Pop Share of State]]/(INDEX(regional_population[Pop Share of State],MATCH(town_population[[#This Row],[Regional Planning Commission]],regional_population[Regional Planning Commission],0)))</f>
        <v>6.2633337358612082E-2</v>
      </c>
    </row>
    <row r="253" spans="1:5" ht="15.75" x14ac:dyDescent="0.25">
      <c r="A253" s="187" t="s">
        <v>461</v>
      </c>
      <c r="B253" s="187" t="s">
        <v>220</v>
      </c>
      <c r="C253" s="187">
        <v>897</v>
      </c>
      <c r="D253" s="189">
        <f t="shared" si="3"/>
        <v>1.4320883584148362E-3</v>
      </c>
      <c r="E253" s="208">
        <f>town_population[[#This Row],[Pop Share of State]]/(INDEX(regional_population[Pop Share of State],MATCH(town_population[[#This Row],[Regional Planning Commission]],regional_population[Regional Planning Commission],0)))</f>
        <v>1.3832986352070321E-2</v>
      </c>
    </row>
    <row r="254" spans="1:5" ht="15.75" x14ac:dyDescent="0.25">
      <c r="A254" s="187" t="s">
        <v>462</v>
      </c>
      <c r="B254" s="187" t="s">
        <v>209</v>
      </c>
      <c r="C254" s="187">
        <v>322</v>
      </c>
      <c r="D254" s="189">
        <f t="shared" si="3"/>
        <v>5.1408300045660787E-4</v>
      </c>
      <c r="E254" s="208">
        <f>town_population[[#This Row],[Pop Share of State]]/(INDEX(regional_population[Pop Share of State],MATCH(town_population[[#This Row],[Regional Planning Commission]],regional_population[Regional Planning Commission],0)))</f>
        <v>9.1448695010082071E-3</v>
      </c>
    </row>
    <row r="255" spans="1:5" ht="15.75" x14ac:dyDescent="0.25">
      <c r="A255" s="187" t="s">
        <v>463</v>
      </c>
      <c r="B255" s="187" t="s">
        <v>217</v>
      </c>
      <c r="C255" s="187">
        <v>3017</v>
      </c>
      <c r="D255" s="189">
        <f t="shared" si="3"/>
        <v>4.8167341999303913E-3</v>
      </c>
      <c r="E255" s="208">
        <f>town_population[[#This Row],[Pop Share of State]]/(INDEX(regional_population[Pop Share of State],MATCH(town_population[[#This Row],[Regional Planning Commission]],regional_population[Regional Planning Commission],0)))</f>
        <v>5.4351546596047483E-2</v>
      </c>
    </row>
    <row r="256" spans="1:5" ht="15.75" x14ac:dyDescent="0.25">
      <c r="A256" s="187" t="s">
        <v>464</v>
      </c>
      <c r="B256" s="187" t="s">
        <v>220</v>
      </c>
      <c r="C256" s="187">
        <v>891</v>
      </c>
      <c r="D256" s="189">
        <f t="shared" si="3"/>
        <v>1.4225091720709243E-3</v>
      </c>
      <c r="E256" s="208">
        <f>town_population[[#This Row],[Pop Share of State]]/(INDEX(regional_population[Pop Share of State],MATCH(town_population[[#This Row],[Regional Planning Commission]],regional_population[Regional Planning Commission],0)))</f>
        <v>1.3740458015267175E-2</v>
      </c>
    </row>
  </sheetData>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topLeftCell="AD2" zoomScale="70" zoomScaleNormal="70" workbookViewId="0">
      <selection activeCell="AK4" sqref="AK4"/>
    </sheetView>
  </sheetViews>
  <sheetFormatPr defaultRowHeight="15" x14ac:dyDescent="0.25"/>
  <cols>
    <col min="1" max="1" width="19.140625" customWidth="1"/>
    <col min="2" max="2" width="52.7109375" bestFit="1" customWidth="1"/>
    <col min="3" max="34" width="19.140625" customWidth="1"/>
    <col min="36" max="36" width="56" bestFit="1" customWidth="1"/>
    <col min="37" max="37" width="36.5703125" customWidth="1"/>
  </cols>
  <sheetData>
    <row r="1" spans="1:37" x14ac:dyDescent="0.25">
      <c r="C1" t="s">
        <v>511</v>
      </c>
      <c r="R1" t="s">
        <v>512</v>
      </c>
    </row>
    <row r="2" spans="1:37" ht="39" customHeight="1" x14ac:dyDescent="0.25">
      <c r="A2" s="210" t="s">
        <v>465</v>
      </c>
      <c r="B2" s="210" t="s">
        <v>466</v>
      </c>
      <c r="C2" s="210" t="s">
        <v>46</v>
      </c>
      <c r="D2" s="210" t="s">
        <v>47</v>
      </c>
      <c r="E2" s="210" t="s">
        <v>48</v>
      </c>
      <c r="F2" s="210" t="s">
        <v>44</v>
      </c>
      <c r="G2" s="210" t="s">
        <v>49</v>
      </c>
      <c r="H2" s="210" t="s">
        <v>50</v>
      </c>
      <c r="I2" s="210" t="s">
        <v>51</v>
      </c>
      <c r="J2" s="210" t="s">
        <v>52</v>
      </c>
      <c r="K2" s="210" t="s">
        <v>53</v>
      </c>
      <c r="L2" s="210" t="s">
        <v>54</v>
      </c>
      <c r="M2" s="210" t="s">
        <v>55</v>
      </c>
      <c r="N2" s="210" t="s">
        <v>56</v>
      </c>
      <c r="O2" s="210" t="s">
        <v>57</v>
      </c>
      <c r="P2" s="210" t="s">
        <v>45</v>
      </c>
      <c r="Q2" s="210" t="s">
        <v>510</v>
      </c>
      <c r="R2" s="210" t="s">
        <v>515</v>
      </c>
      <c r="S2" s="210" t="s">
        <v>516</v>
      </c>
      <c r="T2" s="210" t="s">
        <v>517</v>
      </c>
      <c r="U2" s="210" t="s">
        <v>518</v>
      </c>
      <c r="V2" s="210" t="s">
        <v>519</v>
      </c>
      <c r="W2" s="210" t="s">
        <v>520</v>
      </c>
      <c r="X2" s="210" t="s">
        <v>521</v>
      </c>
      <c r="Y2" s="210" t="s">
        <v>522</v>
      </c>
      <c r="Z2" s="210" t="s">
        <v>523</v>
      </c>
      <c r="AA2" s="210" t="s">
        <v>524</v>
      </c>
      <c r="AB2" s="210" t="s">
        <v>525</v>
      </c>
      <c r="AC2" s="210" t="s">
        <v>526</v>
      </c>
      <c r="AD2" s="210" t="s">
        <v>527</v>
      </c>
      <c r="AE2" s="210" t="s">
        <v>528</v>
      </c>
      <c r="AF2" s="210" t="s">
        <v>529</v>
      </c>
      <c r="AG2" s="210" t="s">
        <v>530</v>
      </c>
      <c r="AH2" s="210" t="s">
        <v>531</v>
      </c>
      <c r="AJ2" t="s">
        <v>466</v>
      </c>
      <c r="AK2" t="s">
        <v>529</v>
      </c>
    </row>
    <row r="3" spans="1:37" x14ac:dyDescent="0.25">
      <c r="A3" t="s">
        <v>200</v>
      </c>
      <c r="B3" t="str">
        <f>INDEX(town_population[Regional Planning Commission],MATCH(town_establishments[[#This Row],[Municipality]],town_population[Municipality],0))</f>
        <v>Addison County Regional Planning Commission</v>
      </c>
      <c r="C3">
        <v>4</v>
      </c>
      <c r="D3">
        <v>5</v>
      </c>
      <c r="F3">
        <v>1</v>
      </c>
      <c r="I3">
        <v>4</v>
      </c>
      <c r="K3">
        <v>2</v>
      </c>
      <c r="L3">
        <v>1</v>
      </c>
      <c r="M3">
        <v>1</v>
      </c>
      <c r="N3">
        <v>1</v>
      </c>
      <c r="O3">
        <v>3</v>
      </c>
      <c r="P3">
        <v>5</v>
      </c>
      <c r="Q3">
        <f>SUM(C3:P3)</f>
        <v>27</v>
      </c>
      <c r="R3" s="189">
        <f>IF($Q3&lt;&gt;0,C3/$Q3,0)</f>
        <v>0.14814814814814814</v>
      </c>
      <c r="S3" s="189">
        <f t="shared" ref="S3:AE18" si="0">IF($Q3&lt;&gt;0,D3/$Q3,0)</f>
        <v>0.18518518518518517</v>
      </c>
      <c r="T3" s="189">
        <f t="shared" si="0"/>
        <v>0</v>
      </c>
      <c r="U3" s="189">
        <f t="shared" si="0"/>
        <v>3.7037037037037035E-2</v>
      </c>
      <c r="V3" s="189">
        <f t="shared" si="0"/>
        <v>0</v>
      </c>
      <c r="W3" s="189">
        <f t="shared" si="0"/>
        <v>0</v>
      </c>
      <c r="X3" s="189">
        <f t="shared" si="0"/>
        <v>0.14814814814814814</v>
      </c>
      <c r="Y3" s="189">
        <f t="shared" si="0"/>
        <v>0</v>
      </c>
      <c r="Z3" s="189">
        <f t="shared" si="0"/>
        <v>7.407407407407407E-2</v>
      </c>
      <c r="AA3" s="189">
        <f t="shared" si="0"/>
        <v>3.7037037037037035E-2</v>
      </c>
      <c r="AB3" s="189">
        <f t="shared" si="0"/>
        <v>3.7037037037037035E-2</v>
      </c>
      <c r="AC3" s="189">
        <f t="shared" si="0"/>
        <v>3.7037037037037035E-2</v>
      </c>
      <c r="AD3" s="189">
        <f t="shared" si="0"/>
        <v>0.1111111111111111</v>
      </c>
      <c r="AE3" s="189">
        <f t="shared" si="0"/>
        <v>0.18518518518518517</v>
      </c>
      <c r="AF3" s="189">
        <f>Q3/Q$250</f>
        <v>1.4179182858943388E-3</v>
      </c>
      <c r="AG3" s="189">
        <f>town_establishments[[#This Row],[share of state establishments]]/($AF$250-$AF$249)</f>
        <v>1.4666739095007876E-3</v>
      </c>
      <c r="AH3" s="189">
        <f>town_establishments[[#This Row],[share of state establishments (no residual)]]/(INDEX(regional_establishments[share of state establishments],MATCH(town_establishments[[#This Row],[Regional Planning Commission]],regional_establishments[Regional Planning Commission],0)))</f>
        <v>2.8846153846153848E-2</v>
      </c>
      <c r="AJ3" t="s">
        <v>201</v>
      </c>
      <c r="AK3" s="23">
        <f>SUMIF(town_establishments[Regional Planning Commission],AJ3,town_establishments[share of state establishments (no residual)])</f>
        <v>5.0844695529360634E-2</v>
      </c>
    </row>
    <row r="4" spans="1:37" x14ac:dyDescent="0.25">
      <c r="A4" t="s">
        <v>202</v>
      </c>
      <c r="B4" t="str">
        <f>INDEX(town_population[Regional Planning Commission],MATCH(town_establishments[[#This Row],[Municipality]],town_population[Municipality],0))</f>
        <v>Northeastern Vermont Development Association</v>
      </c>
      <c r="E4">
        <v>1</v>
      </c>
      <c r="I4">
        <v>2</v>
      </c>
      <c r="K4">
        <v>1</v>
      </c>
      <c r="L4">
        <v>1</v>
      </c>
      <c r="M4">
        <v>2</v>
      </c>
      <c r="Q4">
        <f t="shared" ref="Q4:Q67" si="1">SUM(C4:P4)</f>
        <v>7</v>
      </c>
      <c r="R4" s="189">
        <f t="shared" ref="R4:R67" si="2">IF($Q4&lt;&gt;0,C4/$Q4,0)</f>
        <v>0</v>
      </c>
      <c r="S4" s="189">
        <f t="shared" si="0"/>
        <v>0</v>
      </c>
      <c r="T4" s="189">
        <f t="shared" si="0"/>
        <v>0.14285714285714285</v>
      </c>
      <c r="U4" s="189">
        <f t="shared" si="0"/>
        <v>0</v>
      </c>
      <c r="V4" s="189">
        <f t="shared" si="0"/>
        <v>0</v>
      </c>
      <c r="W4" s="189">
        <f t="shared" si="0"/>
        <v>0</v>
      </c>
      <c r="X4" s="189">
        <f t="shared" si="0"/>
        <v>0.2857142857142857</v>
      </c>
      <c r="Y4" s="189">
        <f t="shared" si="0"/>
        <v>0</v>
      </c>
      <c r="Z4" s="189">
        <f t="shared" si="0"/>
        <v>0.14285714285714285</v>
      </c>
      <c r="AA4" s="189">
        <f t="shared" si="0"/>
        <v>0.14285714285714285</v>
      </c>
      <c r="AB4" s="189">
        <f t="shared" si="0"/>
        <v>0.2857142857142857</v>
      </c>
      <c r="AC4" s="189">
        <f t="shared" si="0"/>
        <v>0</v>
      </c>
      <c r="AD4" s="189">
        <f t="shared" si="0"/>
        <v>0</v>
      </c>
      <c r="AE4" s="189">
        <f t="shared" si="0"/>
        <v>0</v>
      </c>
      <c r="AF4" s="189">
        <f t="shared" ref="AF4:AF18" si="3">Q4/Q$250</f>
        <v>3.676084444911249E-4</v>
      </c>
      <c r="AG4" s="189">
        <f>town_establishments[[#This Row],[share of state establishments]]/($AF$250-$AF$249)</f>
        <v>3.8024879135205606E-4</v>
      </c>
      <c r="AH4" s="189">
        <f>town_establishments[[#This Row],[share of state establishments (no residual)]]/(INDEX(regional_establishments[share of state establishments],MATCH(town_establishments[[#This Row],[Regional Planning Commission]],regional_establishments[Regional Planning Commission],0)))</f>
        <v>4.7978067169294038E-3</v>
      </c>
      <c r="AJ4" t="s">
        <v>209</v>
      </c>
      <c r="AK4" s="23">
        <f>SUMIF(town_establishments[Regional Planning Commission],AJ4,town_establishments[share of state establishments (no residual)])</f>
        <v>6.2306480525829773E-2</v>
      </c>
    </row>
    <row r="5" spans="1:37" x14ac:dyDescent="0.25">
      <c r="A5" t="s">
        <v>204</v>
      </c>
      <c r="B5" t="str">
        <f>INDEX(town_population[Regional Planning Commission],MATCH(town_establishments[[#This Row],[Municipality]],town_population[Municipality],0))</f>
        <v>Northwest Regional Planning Commission</v>
      </c>
      <c r="C5">
        <v>4</v>
      </c>
      <c r="D5">
        <v>8</v>
      </c>
      <c r="E5">
        <v>5</v>
      </c>
      <c r="G5">
        <v>2</v>
      </c>
      <c r="H5">
        <v>1</v>
      </c>
      <c r="I5">
        <v>2</v>
      </c>
      <c r="K5">
        <v>3</v>
      </c>
      <c r="L5">
        <v>1</v>
      </c>
      <c r="M5">
        <v>1</v>
      </c>
      <c r="N5">
        <v>1</v>
      </c>
      <c r="O5">
        <v>5</v>
      </c>
      <c r="P5">
        <v>2</v>
      </c>
      <c r="Q5">
        <f t="shared" si="1"/>
        <v>35</v>
      </c>
      <c r="R5" s="189">
        <f t="shared" si="2"/>
        <v>0.11428571428571428</v>
      </c>
      <c r="S5" s="189">
        <f t="shared" si="0"/>
        <v>0.22857142857142856</v>
      </c>
      <c r="T5" s="189">
        <f t="shared" si="0"/>
        <v>0.14285714285714285</v>
      </c>
      <c r="U5" s="189">
        <f t="shared" si="0"/>
        <v>0</v>
      </c>
      <c r="V5" s="189">
        <f t="shared" si="0"/>
        <v>5.7142857142857141E-2</v>
      </c>
      <c r="W5" s="189">
        <f t="shared" si="0"/>
        <v>2.8571428571428571E-2</v>
      </c>
      <c r="X5" s="189">
        <f t="shared" si="0"/>
        <v>5.7142857142857141E-2</v>
      </c>
      <c r="Y5" s="189">
        <f t="shared" si="0"/>
        <v>0</v>
      </c>
      <c r="Z5" s="189">
        <f t="shared" si="0"/>
        <v>8.5714285714285715E-2</v>
      </c>
      <c r="AA5" s="189">
        <f t="shared" si="0"/>
        <v>2.8571428571428571E-2</v>
      </c>
      <c r="AB5" s="189">
        <f t="shared" si="0"/>
        <v>2.8571428571428571E-2</v>
      </c>
      <c r="AC5" s="189">
        <f t="shared" si="0"/>
        <v>2.8571428571428571E-2</v>
      </c>
      <c r="AD5" s="189">
        <f t="shared" si="0"/>
        <v>0.14285714285714285</v>
      </c>
      <c r="AE5" s="189">
        <f t="shared" si="0"/>
        <v>5.7142857142857141E-2</v>
      </c>
      <c r="AF5" s="189">
        <f t="shared" si="3"/>
        <v>1.8380422224556245E-3</v>
      </c>
      <c r="AG5" s="189">
        <f>town_establishments[[#This Row],[share of state establishments]]/($AF$250-$AF$249)</f>
        <v>1.9012439567602803E-3</v>
      </c>
      <c r="AH5" s="189">
        <f>town_establishments[[#This Row],[share of state establishments (no residual)]]/(INDEX(regional_establishments[share of state establishments],MATCH(town_establishments[[#This Row],[Regional Planning Commission]],regional_establishments[Regional Planning Commission],0)))</f>
        <v>3.4246575342465758E-2</v>
      </c>
      <c r="AJ5" t="s">
        <v>220</v>
      </c>
      <c r="AK5" s="23">
        <f>SUMIF(town_establishments[Regional Planning Commission],AJ5,town_establishments[share of state establishments (no residual)])</f>
        <v>0.11021782823618882</v>
      </c>
    </row>
    <row r="6" spans="1:37" x14ac:dyDescent="0.25">
      <c r="A6" t="s">
        <v>206</v>
      </c>
      <c r="B6" t="str">
        <f>INDEX(town_population[Regional Planning Commission],MATCH(town_establishments[[#This Row],[Municipality]],town_population[Municipality],0))</f>
        <v>Southern Windsor County Regional Planning Commission</v>
      </c>
      <c r="C6">
        <v>1</v>
      </c>
      <c r="D6">
        <v>1</v>
      </c>
      <c r="K6">
        <v>1</v>
      </c>
      <c r="O6">
        <v>1</v>
      </c>
      <c r="P6">
        <v>1</v>
      </c>
      <c r="Q6">
        <f t="shared" si="1"/>
        <v>5</v>
      </c>
      <c r="R6" s="189">
        <f t="shared" si="2"/>
        <v>0.2</v>
      </c>
      <c r="S6" s="189">
        <f t="shared" si="0"/>
        <v>0.2</v>
      </c>
      <c r="T6" s="189">
        <f t="shared" si="0"/>
        <v>0</v>
      </c>
      <c r="U6" s="189">
        <f t="shared" si="0"/>
        <v>0</v>
      </c>
      <c r="V6" s="189">
        <f t="shared" si="0"/>
        <v>0</v>
      </c>
      <c r="W6" s="189">
        <f t="shared" si="0"/>
        <v>0</v>
      </c>
      <c r="X6" s="189">
        <f t="shared" si="0"/>
        <v>0</v>
      </c>
      <c r="Y6" s="189">
        <f t="shared" si="0"/>
        <v>0</v>
      </c>
      <c r="Z6" s="189">
        <f t="shared" si="0"/>
        <v>0.2</v>
      </c>
      <c r="AA6" s="189">
        <f t="shared" si="0"/>
        <v>0</v>
      </c>
      <c r="AB6" s="189">
        <f t="shared" si="0"/>
        <v>0</v>
      </c>
      <c r="AC6" s="189">
        <f t="shared" si="0"/>
        <v>0</v>
      </c>
      <c r="AD6" s="189">
        <f t="shared" si="0"/>
        <v>0.2</v>
      </c>
      <c r="AE6" s="189">
        <f t="shared" si="0"/>
        <v>0.2</v>
      </c>
      <c r="AF6" s="189">
        <f t="shared" si="3"/>
        <v>2.6257746035080349E-4</v>
      </c>
      <c r="AG6" s="189">
        <f>town_establishments[[#This Row],[share of state establishments]]/($AF$250-$AF$249)</f>
        <v>2.7160627953718287E-4</v>
      </c>
      <c r="AH6" s="189">
        <f>town_establishments[[#This Row],[share of state establishments (no residual)]]/(INDEX(regional_establishments[share of state establishments],MATCH(town_establishments[[#This Row],[Regional Planning Commission]],regional_establishments[Regional Planning Commission],0)))</f>
        <v>7.9365079365079378E-3</v>
      </c>
      <c r="AJ6" t="s">
        <v>233</v>
      </c>
      <c r="AK6" s="23">
        <f>SUMIF(town_establishments[Regional Planning Commission],AJ6,town_establishments[share of state establishments (no residual)])</f>
        <v>0.29436688576239878</v>
      </c>
    </row>
    <row r="7" spans="1:37" x14ac:dyDescent="0.25">
      <c r="A7" t="s">
        <v>208</v>
      </c>
      <c r="B7" t="str">
        <f>INDEX(town_population[Regional Planning Commission],MATCH(town_establishments[[#This Row],[Municipality]],town_population[Municipality],0))</f>
        <v>Bennington County Regional Commission</v>
      </c>
      <c r="C7">
        <v>6</v>
      </c>
      <c r="D7">
        <v>12</v>
      </c>
      <c r="E7">
        <v>3</v>
      </c>
      <c r="F7">
        <v>1</v>
      </c>
      <c r="G7">
        <v>2</v>
      </c>
      <c r="H7">
        <v>5</v>
      </c>
      <c r="I7">
        <v>15</v>
      </c>
      <c r="K7">
        <v>9</v>
      </c>
      <c r="L7">
        <v>2</v>
      </c>
      <c r="M7">
        <v>5</v>
      </c>
      <c r="N7">
        <v>1</v>
      </c>
      <c r="O7">
        <v>10</v>
      </c>
      <c r="P7">
        <v>5</v>
      </c>
      <c r="Q7">
        <f t="shared" si="1"/>
        <v>76</v>
      </c>
      <c r="R7" s="189">
        <f t="shared" si="2"/>
        <v>7.8947368421052627E-2</v>
      </c>
      <c r="S7" s="189">
        <f t="shared" si="0"/>
        <v>0.15789473684210525</v>
      </c>
      <c r="T7" s="189">
        <f t="shared" si="0"/>
        <v>3.9473684210526314E-2</v>
      </c>
      <c r="U7" s="189">
        <f t="shared" si="0"/>
        <v>1.3157894736842105E-2</v>
      </c>
      <c r="V7" s="189">
        <f t="shared" si="0"/>
        <v>2.6315789473684209E-2</v>
      </c>
      <c r="W7" s="189">
        <f t="shared" si="0"/>
        <v>6.5789473684210523E-2</v>
      </c>
      <c r="X7" s="189">
        <f t="shared" si="0"/>
        <v>0.19736842105263158</v>
      </c>
      <c r="Y7" s="189">
        <f t="shared" si="0"/>
        <v>0</v>
      </c>
      <c r="Z7" s="189">
        <f t="shared" si="0"/>
        <v>0.11842105263157894</v>
      </c>
      <c r="AA7" s="189">
        <f t="shared" si="0"/>
        <v>2.6315789473684209E-2</v>
      </c>
      <c r="AB7" s="189">
        <f t="shared" si="0"/>
        <v>6.5789473684210523E-2</v>
      </c>
      <c r="AC7" s="189">
        <f t="shared" si="0"/>
        <v>1.3157894736842105E-2</v>
      </c>
      <c r="AD7" s="189">
        <f t="shared" si="0"/>
        <v>0.13157894736842105</v>
      </c>
      <c r="AE7" s="189">
        <f t="shared" si="0"/>
        <v>6.5789473684210523E-2</v>
      </c>
      <c r="AF7" s="189">
        <f t="shared" si="3"/>
        <v>3.9911773973322134E-3</v>
      </c>
      <c r="AG7" s="189">
        <f>town_establishments[[#This Row],[share of state establishments]]/($AF$250-$AF$249)</f>
        <v>4.1284154489651809E-3</v>
      </c>
      <c r="AH7" s="189">
        <f>town_establishments[[#This Row],[share of state establishments (no residual)]]/(INDEX(regional_establishments[share of state establishments],MATCH(town_establishments[[#This Row],[Regional Planning Commission]],regional_establishments[Regional Planning Commission],0)))</f>
        <v>6.6259808195292064E-2</v>
      </c>
      <c r="AJ7" t="s">
        <v>224</v>
      </c>
      <c r="AK7" s="23">
        <f>SUMIF(town_establishments[Regional Planning Commission],AJ7,town_establishments[share of state establishments (no residual)])</f>
        <v>4.4326144820468254E-2</v>
      </c>
    </row>
    <row r="8" spans="1:37" x14ac:dyDescent="0.25">
      <c r="A8" t="s">
        <v>210</v>
      </c>
      <c r="B8" t="str">
        <f>INDEX(town_population[Regional Planning Commission],MATCH(town_establishments[[#This Row],[Municipality]],town_population[Municipality],0))</f>
        <v>Windham Regional Commission</v>
      </c>
      <c r="K8">
        <v>1</v>
      </c>
      <c r="P8">
        <v>1</v>
      </c>
      <c r="Q8">
        <f t="shared" si="1"/>
        <v>2</v>
      </c>
      <c r="R8" s="189">
        <f t="shared" si="2"/>
        <v>0</v>
      </c>
      <c r="S8" s="189">
        <f t="shared" si="0"/>
        <v>0</v>
      </c>
      <c r="T8" s="189">
        <f t="shared" si="0"/>
        <v>0</v>
      </c>
      <c r="U8" s="189">
        <f t="shared" si="0"/>
        <v>0</v>
      </c>
      <c r="V8" s="189">
        <f t="shared" si="0"/>
        <v>0</v>
      </c>
      <c r="W8" s="189">
        <f t="shared" si="0"/>
        <v>0</v>
      </c>
      <c r="X8" s="189">
        <f t="shared" si="0"/>
        <v>0</v>
      </c>
      <c r="Y8" s="189">
        <f t="shared" si="0"/>
        <v>0</v>
      </c>
      <c r="Z8" s="189">
        <f t="shared" si="0"/>
        <v>0.5</v>
      </c>
      <c r="AA8" s="189">
        <f t="shared" si="0"/>
        <v>0</v>
      </c>
      <c r="AB8" s="189">
        <f t="shared" si="0"/>
        <v>0</v>
      </c>
      <c r="AC8" s="189">
        <f t="shared" si="0"/>
        <v>0</v>
      </c>
      <c r="AD8" s="189">
        <f t="shared" si="0"/>
        <v>0</v>
      </c>
      <c r="AE8" s="189">
        <f t="shared" si="0"/>
        <v>0.5</v>
      </c>
      <c r="AF8" s="189">
        <f t="shared" si="3"/>
        <v>1.0503098414032139E-4</v>
      </c>
      <c r="AG8" s="189">
        <f>town_establishments[[#This Row],[share of state establishments]]/($AF$250-$AF$249)</f>
        <v>1.0864251181487315E-4</v>
      </c>
      <c r="AH8" s="189">
        <f>town_establishments[[#This Row],[share of state establishments (no residual)]]/(INDEX(regional_establishments[share of state establishments],MATCH(town_establishments[[#This Row],[Regional Planning Commission]],regional_establishments[Regional Planning Commission],0)))</f>
        <v>1.28783000643915E-3</v>
      </c>
      <c r="AJ8" t="s">
        <v>203</v>
      </c>
      <c r="AK8" s="23">
        <f>SUMIF(town_establishments[Regional Planning Commission],AJ8,town_establishments[share of state establishments (no residual)])</f>
        <v>7.9254712368949973E-2</v>
      </c>
    </row>
    <row r="9" spans="1:37" x14ac:dyDescent="0.25">
      <c r="A9" t="s">
        <v>212</v>
      </c>
      <c r="B9" t="str">
        <f>INDEX(town_population[Regional Planning Commission],MATCH(town_establishments[[#This Row],[Municipality]],town_population[Municipality],0))</f>
        <v>Northeastern Vermont Development Association</v>
      </c>
      <c r="L9">
        <v>1</v>
      </c>
      <c r="O9">
        <v>1</v>
      </c>
      <c r="Q9">
        <f t="shared" si="1"/>
        <v>2</v>
      </c>
      <c r="R9" s="189">
        <f t="shared" si="2"/>
        <v>0</v>
      </c>
      <c r="S9" s="189">
        <f t="shared" si="0"/>
        <v>0</v>
      </c>
      <c r="T9" s="189">
        <f t="shared" si="0"/>
        <v>0</v>
      </c>
      <c r="U9" s="189">
        <f t="shared" si="0"/>
        <v>0</v>
      </c>
      <c r="V9" s="189">
        <f t="shared" si="0"/>
        <v>0</v>
      </c>
      <c r="W9" s="189">
        <f t="shared" si="0"/>
        <v>0</v>
      </c>
      <c r="X9" s="189">
        <f t="shared" si="0"/>
        <v>0</v>
      </c>
      <c r="Y9" s="189">
        <f t="shared" si="0"/>
        <v>0</v>
      </c>
      <c r="Z9" s="189">
        <f t="shared" si="0"/>
        <v>0</v>
      </c>
      <c r="AA9" s="189">
        <f t="shared" si="0"/>
        <v>0.5</v>
      </c>
      <c r="AB9" s="189">
        <f t="shared" si="0"/>
        <v>0</v>
      </c>
      <c r="AC9" s="189">
        <f t="shared" si="0"/>
        <v>0</v>
      </c>
      <c r="AD9" s="189">
        <f t="shared" si="0"/>
        <v>0.5</v>
      </c>
      <c r="AE9" s="189">
        <f t="shared" si="0"/>
        <v>0</v>
      </c>
      <c r="AF9" s="189">
        <f t="shared" si="3"/>
        <v>1.0503098414032139E-4</v>
      </c>
      <c r="AG9" s="189">
        <f>town_establishments[[#This Row],[share of state establishments]]/($AF$250-$AF$249)</f>
        <v>1.0864251181487315E-4</v>
      </c>
      <c r="AH9" s="189">
        <f>town_establishments[[#This Row],[share of state establishments (no residual)]]/(INDEX(regional_establishments[share of state establishments],MATCH(town_establishments[[#This Row],[Regional Planning Commission]],regional_establishments[Regional Planning Commission],0)))</f>
        <v>1.3708019191226866E-3</v>
      </c>
      <c r="AJ9" t="s">
        <v>205</v>
      </c>
      <c r="AK9" s="23">
        <f>SUMIF(town_establishments[Regional Planning Commission],AJ9,town_establishments[share of state establishments (no residual)])</f>
        <v>5.5516323537400179E-2</v>
      </c>
    </row>
    <row r="10" spans="1:37" x14ac:dyDescent="0.25">
      <c r="A10" t="s">
        <v>214</v>
      </c>
      <c r="B10" t="str">
        <f>INDEX(town_population[Regional Planning Commission],MATCH(town_establishments[[#This Row],[Municipality]],town_population[Municipality],0))</f>
        <v>Northwest Regional Planning Commission</v>
      </c>
      <c r="C10">
        <v>1</v>
      </c>
      <c r="D10">
        <v>1</v>
      </c>
      <c r="E10">
        <v>1</v>
      </c>
      <c r="I10">
        <v>1</v>
      </c>
      <c r="K10">
        <v>2</v>
      </c>
      <c r="L10">
        <v>1</v>
      </c>
      <c r="N10">
        <v>1</v>
      </c>
      <c r="P10">
        <v>1</v>
      </c>
      <c r="Q10">
        <f t="shared" si="1"/>
        <v>9</v>
      </c>
      <c r="R10" s="189">
        <f t="shared" si="2"/>
        <v>0.1111111111111111</v>
      </c>
      <c r="S10" s="189">
        <f t="shared" si="0"/>
        <v>0.1111111111111111</v>
      </c>
      <c r="T10" s="189">
        <f t="shared" si="0"/>
        <v>0.1111111111111111</v>
      </c>
      <c r="U10" s="189">
        <f t="shared" si="0"/>
        <v>0</v>
      </c>
      <c r="V10" s="189">
        <f t="shared" si="0"/>
        <v>0</v>
      </c>
      <c r="W10" s="189">
        <f t="shared" si="0"/>
        <v>0</v>
      </c>
      <c r="X10" s="189">
        <f t="shared" si="0"/>
        <v>0.1111111111111111</v>
      </c>
      <c r="Y10" s="189">
        <f t="shared" si="0"/>
        <v>0</v>
      </c>
      <c r="Z10" s="189">
        <f t="shared" si="0"/>
        <v>0.22222222222222221</v>
      </c>
      <c r="AA10" s="189">
        <f t="shared" si="0"/>
        <v>0.1111111111111111</v>
      </c>
      <c r="AB10" s="189">
        <f t="shared" si="0"/>
        <v>0</v>
      </c>
      <c r="AC10" s="189">
        <f t="shared" si="0"/>
        <v>0.1111111111111111</v>
      </c>
      <c r="AD10" s="189">
        <f t="shared" si="0"/>
        <v>0</v>
      </c>
      <c r="AE10" s="189">
        <f t="shared" si="0"/>
        <v>0.1111111111111111</v>
      </c>
      <c r="AF10" s="189">
        <f t="shared" si="3"/>
        <v>4.7263942863144627E-4</v>
      </c>
      <c r="AG10" s="189">
        <f>town_establishments[[#This Row],[share of state establishments]]/($AF$250-$AF$249)</f>
        <v>4.8889130316692926E-4</v>
      </c>
      <c r="AH10" s="189">
        <f>town_establishments[[#This Row],[share of state establishments (no residual)]]/(INDEX(regional_establishments[share of state establishments],MATCH(town_establishments[[#This Row],[Regional Planning Commission]],regional_establishments[Regional Planning Commission],0)))</f>
        <v>8.8062622309197664E-3</v>
      </c>
      <c r="AJ10" t="s">
        <v>227</v>
      </c>
      <c r="AK10" s="23">
        <f>SUMIF(town_establishments[Regional Planning Commission],AJ10,town_establishments[share of state establishments (no residual)])</f>
        <v>9.6583193003422246E-2</v>
      </c>
    </row>
    <row r="11" spans="1:37" x14ac:dyDescent="0.25">
      <c r="A11" t="s">
        <v>215</v>
      </c>
      <c r="B11" t="str">
        <f>INDEX(town_population[Regional Planning Commission],MATCH(town_establishments[[#This Row],[Municipality]],town_population[Municipality],0))</f>
        <v>Southern Windsor County Regional Planning Commission</v>
      </c>
      <c r="I11">
        <v>1</v>
      </c>
      <c r="Q11">
        <f t="shared" si="1"/>
        <v>1</v>
      </c>
      <c r="R11" s="189">
        <f t="shared" si="2"/>
        <v>0</v>
      </c>
      <c r="S11" s="189">
        <f t="shared" si="0"/>
        <v>0</v>
      </c>
      <c r="T11" s="189">
        <f t="shared" si="0"/>
        <v>0</v>
      </c>
      <c r="U11" s="189">
        <f t="shared" si="0"/>
        <v>0</v>
      </c>
      <c r="V11" s="189">
        <f t="shared" si="0"/>
        <v>0</v>
      </c>
      <c r="W11" s="189">
        <f t="shared" si="0"/>
        <v>0</v>
      </c>
      <c r="X11" s="189">
        <f t="shared" si="0"/>
        <v>1</v>
      </c>
      <c r="Y11" s="189">
        <f t="shared" si="0"/>
        <v>0</v>
      </c>
      <c r="Z11" s="189">
        <f t="shared" si="0"/>
        <v>0</v>
      </c>
      <c r="AA11" s="189">
        <f t="shared" si="0"/>
        <v>0</v>
      </c>
      <c r="AB11" s="189">
        <f t="shared" si="0"/>
        <v>0</v>
      </c>
      <c r="AC11" s="189">
        <f t="shared" si="0"/>
        <v>0</v>
      </c>
      <c r="AD11" s="189">
        <f t="shared" si="0"/>
        <v>0</v>
      </c>
      <c r="AE11" s="189">
        <f t="shared" si="0"/>
        <v>0</v>
      </c>
      <c r="AF11" s="189">
        <f t="shared" si="3"/>
        <v>5.2515492070160695E-5</v>
      </c>
      <c r="AG11" s="189">
        <f>town_establishments[[#This Row],[share of state establishments]]/($AF$250-$AF$249)</f>
        <v>5.4321255907436576E-5</v>
      </c>
      <c r="AH11" s="189">
        <f>town_establishments[[#This Row],[share of state establishments (no residual)]]/(INDEX(regional_establishments[share of state establishments],MATCH(town_establishments[[#This Row],[Regional Planning Commission]],regional_establishments[Regional Planning Commission],0)))</f>
        <v>1.5873015873015875E-3</v>
      </c>
      <c r="AJ11" t="s">
        <v>207</v>
      </c>
      <c r="AK11" s="23">
        <f>SUMIF(town_establishments[Regional Planning Commission],AJ11,town_establishments[share of state establishments (no residual)])</f>
        <v>3.4222391221685036E-2</v>
      </c>
    </row>
    <row r="12" spans="1:37" x14ac:dyDescent="0.25">
      <c r="A12" t="s">
        <v>216</v>
      </c>
      <c r="B12" t="str">
        <f>INDEX(town_population[Regional Planning Commission],MATCH(town_establishments[[#This Row],[Municipality]],town_population[Municipality],0))</f>
        <v>Two Rivers-Ottauquechee Regional Commission</v>
      </c>
      <c r="C12">
        <v>2</v>
      </c>
      <c r="D12">
        <v>1</v>
      </c>
      <c r="E12">
        <v>1</v>
      </c>
      <c r="H12">
        <v>2</v>
      </c>
      <c r="I12">
        <v>1</v>
      </c>
      <c r="K12">
        <v>4</v>
      </c>
      <c r="L12">
        <v>1</v>
      </c>
      <c r="M12">
        <v>0</v>
      </c>
      <c r="N12">
        <v>1</v>
      </c>
      <c r="O12">
        <v>4</v>
      </c>
      <c r="P12">
        <v>2</v>
      </c>
      <c r="Q12">
        <f t="shared" si="1"/>
        <v>19</v>
      </c>
      <c r="R12" s="189">
        <f t="shared" si="2"/>
        <v>0.10526315789473684</v>
      </c>
      <c r="S12" s="189">
        <f t="shared" si="0"/>
        <v>5.2631578947368418E-2</v>
      </c>
      <c r="T12" s="189">
        <f t="shared" si="0"/>
        <v>5.2631578947368418E-2</v>
      </c>
      <c r="U12" s="189">
        <f t="shared" si="0"/>
        <v>0</v>
      </c>
      <c r="V12" s="189">
        <f t="shared" si="0"/>
        <v>0</v>
      </c>
      <c r="W12" s="189">
        <f t="shared" si="0"/>
        <v>0.10526315789473684</v>
      </c>
      <c r="X12" s="189">
        <f t="shared" si="0"/>
        <v>5.2631578947368418E-2</v>
      </c>
      <c r="Y12" s="189">
        <f t="shared" si="0"/>
        <v>0</v>
      </c>
      <c r="Z12" s="189">
        <f t="shared" si="0"/>
        <v>0.21052631578947367</v>
      </c>
      <c r="AA12" s="189">
        <f t="shared" si="0"/>
        <v>5.2631578947368418E-2</v>
      </c>
      <c r="AB12" s="189">
        <f t="shared" si="0"/>
        <v>0</v>
      </c>
      <c r="AC12" s="189">
        <f t="shared" si="0"/>
        <v>5.2631578947368418E-2</v>
      </c>
      <c r="AD12" s="189">
        <f t="shared" si="0"/>
        <v>0.21052631578947367</v>
      </c>
      <c r="AE12" s="189">
        <f t="shared" si="0"/>
        <v>0.10526315789473684</v>
      </c>
      <c r="AF12" s="189">
        <f t="shared" si="3"/>
        <v>9.9779434933305335E-4</v>
      </c>
      <c r="AG12" s="189">
        <f>town_establishments[[#This Row],[share of state establishments]]/($AF$250-$AF$249)</f>
        <v>1.0321038622412952E-3</v>
      </c>
      <c r="AH12" s="189">
        <f>town_establishments[[#This Row],[share of state establishments (no residual)]]/(INDEX(regional_establishments[share of state establishments],MATCH(town_establishments[[#This Row],[Regional Planning Commission]],regional_establishments[Regional Planning Commission],0)))</f>
        <v>1.1728395061728399E-2</v>
      </c>
      <c r="AJ12" t="s">
        <v>217</v>
      </c>
      <c r="AK12" s="23">
        <f>SUMIF(town_establishments[Regional Planning Commission],AJ12,town_establishments[share of state establishments (no residual)])</f>
        <v>8.8000434570047248E-2</v>
      </c>
    </row>
    <row r="13" spans="1:37" x14ac:dyDescent="0.25">
      <c r="A13" t="s">
        <v>218</v>
      </c>
      <c r="B13" t="str">
        <f>INDEX(town_population[Regional Planning Commission],MATCH(town_establishments[[#This Row],[Municipality]],town_population[Municipality],0))</f>
        <v>Northeastern Vermont Development Association</v>
      </c>
      <c r="C13">
        <v>1</v>
      </c>
      <c r="D13">
        <v>5</v>
      </c>
      <c r="E13">
        <v>3</v>
      </c>
      <c r="F13">
        <v>1</v>
      </c>
      <c r="H13">
        <v>1</v>
      </c>
      <c r="I13">
        <v>3</v>
      </c>
      <c r="L13">
        <v>1</v>
      </c>
      <c r="M13">
        <v>1</v>
      </c>
      <c r="O13">
        <v>1</v>
      </c>
      <c r="P13">
        <v>1</v>
      </c>
      <c r="Q13">
        <f t="shared" si="1"/>
        <v>18</v>
      </c>
      <c r="R13" s="189">
        <f t="shared" si="2"/>
        <v>5.5555555555555552E-2</v>
      </c>
      <c r="S13" s="189">
        <f t="shared" si="0"/>
        <v>0.27777777777777779</v>
      </c>
      <c r="T13" s="189">
        <f t="shared" si="0"/>
        <v>0.16666666666666666</v>
      </c>
      <c r="U13" s="189">
        <f t="shared" si="0"/>
        <v>5.5555555555555552E-2</v>
      </c>
      <c r="V13" s="189">
        <f t="shared" si="0"/>
        <v>0</v>
      </c>
      <c r="W13" s="189">
        <f t="shared" si="0"/>
        <v>5.5555555555555552E-2</v>
      </c>
      <c r="X13" s="189">
        <f t="shared" si="0"/>
        <v>0.16666666666666666</v>
      </c>
      <c r="Y13" s="189">
        <f t="shared" si="0"/>
        <v>0</v>
      </c>
      <c r="Z13" s="189">
        <f t="shared" si="0"/>
        <v>0</v>
      </c>
      <c r="AA13" s="189">
        <f t="shared" si="0"/>
        <v>5.5555555555555552E-2</v>
      </c>
      <c r="AB13" s="189">
        <f t="shared" si="0"/>
        <v>5.5555555555555552E-2</v>
      </c>
      <c r="AC13" s="189">
        <f t="shared" si="0"/>
        <v>0</v>
      </c>
      <c r="AD13" s="189">
        <f t="shared" si="0"/>
        <v>5.5555555555555552E-2</v>
      </c>
      <c r="AE13" s="189">
        <f t="shared" si="0"/>
        <v>5.5555555555555552E-2</v>
      </c>
      <c r="AF13" s="189">
        <f t="shared" si="3"/>
        <v>9.4527885726289253E-4</v>
      </c>
      <c r="AG13" s="189">
        <f>town_establishments[[#This Row],[share of state establishments]]/($AF$250-$AF$249)</f>
        <v>9.7778260633385851E-4</v>
      </c>
      <c r="AH13" s="189">
        <f>town_establishments[[#This Row],[share of state establishments (no residual)]]/(INDEX(regional_establishments[share of state establishments],MATCH(town_establishments[[#This Row],[Regional Planning Commission]],regional_establishments[Regional Planning Commission],0)))</f>
        <v>1.2337217272104182E-2</v>
      </c>
      <c r="AJ13" t="s">
        <v>211</v>
      </c>
      <c r="AK13" s="23">
        <f>SUMIF(town_establishments[Regional Planning Commission],AJ13,town_establishments[share of state establishments (no residual)])</f>
        <v>8.4360910424249008E-2</v>
      </c>
    </row>
    <row r="14" spans="1:37" x14ac:dyDescent="0.25">
      <c r="A14" t="s">
        <v>221</v>
      </c>
      <c r="B14" t="str">
        <f>INDEX(town_population[Regional Planning Commission],MATCH(town_establishments[[#This Row],[Municipality]],town_population[Municipality],0))</f>
        <v>Central Vermont Regional Planning Commission</v>
      </c>
      <c r="C14">
        <v>31</v>
      </c>
      <c r="D14">
        <v>73</v>
      </c>
      <c r="E14">
        <v>8</v>
      </c>
      <c r="F14">
        <v>5</v>
      </c>
      <c r="G14">
        <v>22</v>
      </c>
      <c r="H14">
        <v>10</v>
      </c>
      <c r="I14">
        <v>60</v>
      </c>
      <c r="J14">
        <v>1</v>
      </c>
      <c r="K14">
        <v>15</v>
      </c>
      <c r="L14">
        <v>3</v>
      </c>
      <c r="M14">
        <v>49</v>
      </c>
      <c r="N14">
        <v>6</v>
      </c>
      <c r="O14">
        <v>28</v>
      </c>
      <c r="P14">
        <v>37</v>
      </c>
      <c r="Q14">
        <f t="shared" si="1"/>
        <v>348</v>
      </c>
      <c r="R14" s="189">
        <f t="shared" si="2"/>
        <v>8.9080459770114945E-2</v>
      </c>
      <c r="S14" s="189">
        <f t="shared" si="0"/>
        <v>0.20977011494252873</v>
      </c>
      <c r="T14" s="189">
        <f t="shared" si="0"/>
        <v>2.2988505747126436E-2</v>
      </c>
      <c r="U14" s="189">
        <f t="shared" si="0"/>
        <v>1.4367816091954023E-2</v>
      </c>
      <c r="V14" s="189">
        <f t="shared" si="0"/>
        <v>6.3218390804597707E-2</v>
      </c>
      <c r="W14" s="189">
        <f t="shared" si="0"/>
        <v>2.8735632183908046E-2</v>
      </c>
      <c r="X14" s="189">
        <f t="shared" si="0"/>
        <v>0.17241379310344829</v>
      </c>
      <c r="Y14" s="189">
        <f t="shared" si="0"/>
        <v>2.8735632183908046E-3</v>
      </c>
      <c r="Z14" s="189">
        <f t="shared" si="0"/>
        <v>4.3103448275862072E-2</v>
      </c>
      <c r="AA14" s="189">
        <f t="shared" si="0"/>
        <v>8.6206896551724137E-3</v>
      </c>
      <c r="AB14" s="189">
        <f t="shared" si="0"/>
        <v>0.14080459770114942</v>
      </c>
      <c r="AC14" s="189">
        <f t="shared" si="0"/>
        <v>1.7241379310344827E-2</v>
      </c>
      <c r="AD14" s="189">
        <f t="shared" si="0"/>
        <v>8.0459770114942528E-2</v>
      </c>
      <c r="AE14" s="189">
        <f t="shared" si="0"/>
        <v>0.10632183908045977</v>
      </c>
      <c r="AF14" s="189">
        <f t="shared" si="3"/>
        <v>1.8275391240415922E-2</v>
      </c>
      <c r="AG14" s="189">
        <f>town_establishments[[#This Row],[share of state establishments]]/($AF$250-$AF$249)</f>
        <v>1.890379705578793E-2</v>
      </c>
      <c r="AH14" s="189">
        <f>town_establishments[[#This Row],[share of state establishments (no residual)]]/(INDEX(regional_establishments[share of state establishments],MATCH(town_establishments[[#This Row],[Regional Planning Commission]],regional_establishments[Regional Planning Commission],0)))</f>
        <v>0.17151306062099556</v>
      </c>
    </row>
    <row r="15" spans="1:37" x14ac:dyDescent="0.25">
      <c r="A15" t="s">
        <v>219</v>
      </c>
      <c r="B15" t="str">
        <f>INDEX(town_population[Regional Planning Commission],MATCH(town_establishments[[#This Row],[Municipality]],town_population[Municipality],0))</f>
        <v>Central Vermont Regional Planning Commission</v>
      </c>
      <c r="C15">
        <v>10</v>
      </c>
      <c r="D15">
        <v>18</v>
      </c>
      <c r="E15">
        <v>10</v>
      </c>
      <c r="F15">
        <v>1</v>
      </c>
      <c r="G15">
        <v>4</v>
      </c>
      <c r="H15">
        <v>2</v>
      </c>
      <c r="I15">
        <v>11</v>
      </c>
      <c r="J15">
        <v>1</v>
      </c>
      <c r="K15">
        <v>5</v>
      </c>
      <c r="L15">
        <v>2</v>
      </c>
      <c r="M15">
        <v>3</v>
      </c>
      <c r="N15">
        <v>1</v>
      </c>
      <c r="O15">
        <v>5</v>
      </c>
      <c r="P15">
        <v>11</v>
      </c>
      <c r="Q15">
        <f t="shared" si="1"/>
        <v>84</v>
      </c>
      <c r="R15" s="189">
        <f t="shared" si="2"/>
        <v>0.11904761904761904</v>
      </c>
      <c r="S15" s="189">
        <f t="shared" si="0"/>
        <v>0.21428571428571427</v>
      </c>
      <c r="T15" s="189">
        <f t="shared" si="0"/>
        <v>0.11904761904761904</v>
      </c>
      <c r="U15" s="189">
        <f t="shared" si="0"/>
        <v>1.1904761904761904E-2</v>
      </c>
      <c r="V15" s="189">
        <f t="shared" si="0"/>
        <v>4.7619047619047616E-2</v>
      </c>
      <c r="W15" s="189">
        <f t="shared" si="0"/>
        <v>2.3809523809523808E-2</v>
      </c>
      <c r="X15" s="189">
        <f t="shared" si="0"/>
        <v>0.13095238095238096</v>
      </c>
      <c r="Y15" s="189">
        <f t="shared" si="0"/>
        <v>1.1904761904761904E-2</v>
      </c>
      <c r="Z15" s="189">
        <f t="shared" si="0"/>
        <v>5.9523809523809521E-2</v>
      </c>
      <c r="AA15" s="189">
        <f t="shared" si="0"/>
        <v>2.3809523809523808E-2</v>
      </c>
      <c r="AB15" s="189">
        <f t="shared" si="0"/>
        <v>3.5714285714285712E-2</v>
      </c>
      <c r="AC15" s="189">
        <f t="shared" si="0"/>
        <v>1.1904761904761904E-2</v>
      </c>
      <c r="AD15" s="189">
        <f t="shared" si="0"/>
        <v>5.9523809523809521E-2</v>
      </c>
      <c r="AE15" s="189">
        <f t="shared" si="0"/>
        <v>0.13095238095238096</v>
      </c>
      <c r="AF15" s="189">
        <f t="shared" si="3"/>
        <v>4.4113013338934982E-3</v>
      </c>
      <c r="AG15" s="189">
        <f>town_establishments[[#This Row],[share of state establishments]]/($AF$250-$AF$249)</f>
        <v>4.5629854962246719E-3</v>
      </c>
      <c r="AH15" s="189">
        <f>town_establishments[[#This Row],[share of state establishments (no residual)]]/(INDEX(regional_establishments[share of state establishments],MATCH(town_establishments[[#This Row],[Regional Planning Commission]],regional_establishments[Regional Planning Commission],0)))</f>
        <v>4.1399704287826508E-2</v>
      </c>
    </row>
    <row r="16" spans="1:37" x14ac:dyDescent="0.25">
      <c r="A16" t="s">
        <v>222</v>
      </c>
      <c r="B16" t="str">
        <f>INDEX(town_population[Regional Planning Commission],MATCH(town_establishments[[#This Row],[Municipality]],town_population[Municipality],0))</f>
        <v>Northeastern Vermont Development Association</v>
      </c>
      <c r="C16">
        <v>8</v>
      </c>
      <c r="D16">
        <v>15</v>
      </c>
      <c r="E16">
        <v>7</v>
      </c>
      <c r="F16">
        <v>4</v>
      </c>
      <c r="G16">
        <v>6</v>
      </c>
      <c r="H16">
        <v>1</v>
      </c>
      <c r="I16">
        <v>7</v>
      </c>
      <c r="K16">
        <v>1</v>
      </c>
      <c r="L16">
        <v>4</v>
      </c>
      <c r="M16">
        <v>6</v>
      </c>
      <c r="N16">
        <v>3</v>
      </c>
      <c r="O16">
        <v>7</v>
      </c>
      <c r="P16">
        <v>9</v>
      </c>
      <c r="Q16">
        <f t="shared" si="1"/>
        <v>78</v>
      </c>
      <c r="R16" s="189">
        <f t="shared" si="2"/>
        <v>0.10256410256410256</v>
      </c>
      <c r="S16" s="189">
        <f t="shared" si="0"/>
        <v>0.19230769230769232</v>
      </c>
      <c r="T16" s="189">
        <f t="shared" si="0"/>
        <v>8.9743589743589744E-2</v>
      </c>
      <c r="U16" s="189">
        <f t="shared" si="0"/>
        <v>5.128205128205128E-2</v>
      </c>
      <c r="V16" s="189">
        <f t="shared" si="0"/>
        <v>7.6923076923076927E-2</v>
      </c>
      <c r="W16" s="189">
        <f t="shared" si="0"/>
        <v>1.282051282051282E-2</v>
      </c>
      <c r="X16" s="189">
        <f t="shared" si="0"/>
        <v>8.9743589743589744E-2</v>
      </c>
      <c r="Y16" s="189">
        <f t="shared" si="0"/>
        <v>0</v>
      </c>
      <c r="Z16" s="189">
        <f t="shared" si="0"/>
        <v>1.282051282051282E-2</v>
      </c>
      <c r="AA16" s="189">
        <f t="shared" si="0"/>
        <v>5.128205128205128E-2</v>
      </c>
      <c r="AB16" s="189">
        <f t="shared" si="0"/>
        <v>7.6923076923076927E-2</v>
      </c>
      <c r="AC16" s="189">
        <f t="shared" si="0"/>
        <v>3.8461538461538464E-2</v>
      </c>
      <c r="AD16" s="189">
        <f t="shared" si="0"/>
        <v>8.9743589743589744E-2</v>
      </c>
      <c r="AE16" s="189">
        <f t="shared" si="0"/>
        <v>0.11538461538461539</v>
      </c>
      <c r="AF16" s="189">
        <f t="shared" si="3"/>
        <v>4.0962083814725346E-3</v>
      </c>
      <c r="AG16" s="189">
        <f>town_establishments[[#This Row],[share of state establishments]]/($AF$250-$AF$249)</f>
        <v>4.2370579607800534E-3</v>
      </c>
      <c r="AH16" s="189">
        <f>town_establishments[[#This Row],[share of state establishments (no residual)]]/(INDEX(regional_establishments[share of state establishments],MATCH(town_establishments[[#This Row],[Regional Planning Commission]],regional_establishments[Regional Planning Commission],0)))</f>
        <v>5.3461274845784786E-2</v>
      </c>
    </row>
    <row r="17" spans="1:34" x14ac:dyDescent="0.25">
      <c r="A17" t="s">
        <v>223</v>
      </c>
      <c r="B17" t="str">
        <f>INDEX(town_population[Regional Planning Commission],MATCH(town_establishments[[#This Row],[Municipality]],town_population[Municipality],0))</f>
        <v>Lamoille County Planning Commission</v>
      </c>
      <c r="E17">
        <v>1</v>
      </c>
      <c r="F17">
        <v>1</v>
      </c>
      <c r="I17">
        <v>1</v>
      </c>
      <c r="L17">
        <v>1</v>
      </c>
      <c r="P17">
        <v>1</v>
      </c>
      <c r="Q17">
        <f t="shared" si="1"/>
        <v>5</v>
      </c>
      <c r="R17" s="189">
        <f t="shared" si="2"/>
        <v>0</v>
      </c>
      <c r="S17" s="189">
        <f t="shared" si="0"/>
        <v>0</v>
      </c>
      <c r="T17" s="189">
        <f t="shared" si="0"/>
        <v>0.2</v>
      </c>
      <c r="U17" s="189">
        <f t="shared" si="0"/>
        <v>0.2</v>
      </c>
      <c r="V17" s="189">
        <f t="shared" si="0"/>
        <v>0</v>
      </c>
      <c r="W17" s="189">
        <f t="shared" si="0"/>
        <v>0</v>
      </c>
      <c r="X17" s="189">
        <f t="shared" si="0"/>
        <v>0.2</v>
      </c>
      <c r="Y17" s="189">
        <f t="shared" si="0"/>
        <v>0</v>
      </c>
      <c r="Z17" s="189">
        <f t="shared" si="0"/>
        <v>0</v>
      </c>
      <c r="AA17" s="189">
        <f t="shared" si="0"/>
        <v>0.2</v>
      </c>
      <c r="AB17" s="189">
        <f t="shared" si="0"/>
        <v>0</v>
      </c>
      <c r="AC17" s="189">
        <f t="shared" si="0"/>
        <v>0</v>
      </c>
      <c r="AD17" s="189">
        <f t="shared" si="0"/>
        <v>0</v>
      </c>
      <c r="AE17" s="189">
        <f t="shared" si="0"/>
        <v>0.2</v>
      </c>
      <c r="AF17" s="189">
        <f t="shared" si="3"/>
        <v>2.6257746035080349E-4</v>
      </c>
      <c r="AG17" s="189">
        <f>town_establishments[[#This Row],[share of state establishments]]/($AF$250-$AF$249)</f>
        <v>2.7160627953718287E-4</v>
      </c>
      <c r="AH17" s="189">
        <f>town_establishments[[#This Row],[share of state establishments (no residual)]]/(INDEX(regional_establishments[share of state establishments],MATCH(town_establishments[[#This Row],[Regional Planning Commission]],regional_establishments[Regional Planning Commission],0)))</f>
        <v>6.1274509803921559E-3</v>
      </c>
    </row>
    <row r="18" spans="1:34" x14ac:dyDescent="0.25">
      <c r="A18" t="s">
        <v>225</v>
      </c>
      <c r="B18" t="str">
        <f>INDEX(town_population[Regional Planning Commission],MATCH(town_establishments[[#This Row],[Municipality]],town_population[Municipality],0))</f>
        <v>Bennington County Regional Commission</v>
      </c>
      <c r="C18">
        <v>21</v>
      </c>
      <c r="D18">
        <v>105</v>
      </c>
      <c r="E18">
        <v>11</v>
      </c>
      <c r="F18">
        <v>17</v>
      </c>
      <c r="G18">
        <v>25</v>
      </c>
      <c r="H18">
        <v>14</v>
      </c>
      <c r="I18">
        <v>52</v>
      </c>
      <c r="J18">
        <v>1</v>
      </c>
      <c r="K18">
        <v>37</v>
      </c>
      <c r="L18">
        <v>11</v>
      </c>
      <c r="M18">
        <v>81</v>
      </c>
      <c r="N18">
        <v>10</v>
      </c>
      <c r="O18">
        <v>51</v>
      </c>
      <c r="P18">
        <v>43</v>
      </c>
      <c r="Q18">
        <f t="shared" si="1"/>
        <v>479</v>
      </c>
      <c r="R18" s="189">
        <f t="shared" si="2"/>
        <v>4.3841336116910233E-2</v>
      </c>
      <c r="S18" s="189">
        <f t="shared" si="0"/>
        <v>0.21920668058455114</v>
      </c>
      <c r="T18" s="189">
        <f t="shared" si="0"/>
        <v>2.2964509394572025E-2</v>
      </c>
      <c r="U18" s="189">
        <f t="shared" si="0"/>
        <v>3.5490605427974949E-2</v>
      </c>
      <c r="V18" s="189">
        <f t="shared" si="0"/>
        <v>5.2192066805845511E-2</v>
      </c>
      <c r="W18" s="189">
        <f t="shared" si="0"/>
        <v>2.9227557411273485E-2</v>
      </c>
      <c r="X18" s="189">
        <f t="shared" si="0"/>
        <v>0.10855949895615867</v>
      </c>
      <c r="Y18" s="189">
        <f t="shared" si="0"/>
        <v>2.0876826722338203E-3</v>
      </c>
      <c r="Z18" s="189">
        <f t="shared" si="0"/>
        <v>7.724425887265135E-2</v>
      </c>
      <c r="AA18" s="189">
        <f t="shared" si="0"/>
        <v>2.2964509394572025E-2</v>
      </c>
      <c r="AB18" s="189">
        <f t="shared" si="0"/>
        <v>0.16910229645093947</v>
      </c>
      <c r="AC18" s="189">
        <f t="shared" si="0"/>
        <v>2.0876826722338204E-2</v>
      </c>
      <c r="AD18" s="189">
        <f t="shared" si="0"/>
        <v>0.10647181628392484</v>
      </c>
      <c r="AE18" s="189">
        <f t="shared" si="0"/>
        <v>8.9770354906054284E-2</v>
      </c>
      <c r="AF18" s="189">
        <f t="shared" si="3"/>
        <v>2.5154920701606975E-2</v>
      </c>
      <c r="AG18" s="189">
        <f>town_establishments[[#This Row],[share of state establishments]]/($AF$250-$AF$249)</f>
        <v>2.6019881579662122E-2</v>
      </c>
      <c r="AH18" s="189">
        <f>town_establishments[[#This Row],[share of state establishments (no residual)]]/(INDEX(regional_establishments[share of state establishments],MATCH(town_establishments[[#This Row],[Regional Planning Commission]],regional_establishments[Regional Planning Commission],0)))</f>
        <v>0.4176111595466433</v>
      </c>
    </row>
    <row r="19" spans="1:34" x14ac:dyDescent="0.25">
      <c r="A19" t="s">
        <v>226</v>
      </c>
      <c r="B19" t="str">
        <f>INDEX(town_population[Regional Planning Commission],MATCH(town_establishments[[#This Row],[Municipality]],town_population[Municipality],0))</f>
        <v>Rutland Regional Planning Commission</v>
      </c>
      <c r="C19">
        <v>4</v>
      </c>
      <c r="D19">
        <v>3</v>
      </c>
      <c r="F19">
        <v>0</v>
      </c>
      <c r="G19">
        <v>1</v>
      </c>
      <c r="H19">
        <v>0</v>
      </c>
      <c r="I19">
        <v>2</v>
      </c>
      <c r="K19">
        <v>2</v>
      </c>
      <c r="L19">
        <v>1</v>
      </c>
      <c r="O19">
        <v>1</v>
      </c>
      <c r="Q19">
        <f t="shared" si="1"/>
        <v>14</v>
      </c>
      <c r="R19" s="189">
        <f t="shared" si="2"/>
        <v>0.2857142857142857</v>
      </c>
      <c r="S19" s="189">
        <f t="shared" ref="S19:S82" si="4">IF($Q19&lt;&gt;0,D19/$Q19,0)</f>
        <v>0.21428571428571427</v>
      </c>
      <c r="T19" s="189">
        <f t="shared" ref="T19:T82" si="5">IF($Q19&lt;&gt;0,E19/$Q19,0)</f>
        <v>0</v>
      </c>
      <c r="U19" s="189">
        <f t="shared" ref="U19:U82" si="6">IF($Q19&lt;&gt;0,F19/$Q19,0)</f>
        <v>0</v>
      </c>
      <c r="V19" s="189">
        <f t="shared" ref="V19:V82" si="7">IF($Q19&lt;&gt;0,G19/$Q19,0)</f>
        <v>7.1428571428571425E-2</v>
      </c>
      <c r="W19" s="189">
        <f t="shared" ref="W19:W82" si="8">IF($Q19&lt;&gt;0,H19/$Q19,0)</f>
        <v>0</v>
      </c>
      <c r="X19" s="189">
        <f t="shared" ref="X19:X82" si="9">IF($Q19&lt;&gt;0,I19/$Q19,0)</f>
        <v>0.14285714285714285</v>
      </c>
      <c r="Y19" s="189">
        <f t="shared" ref="Y19:Y82" si="10">IF($Q19&lt;&gt;0,J19/$Q19,0)</f>
        <v>0</v>
      </c>
      <c r="Z19" s="189">
        <f t="shared" ref="Z19:Z82" si="11">IF($Q19&lt;&gt;0,K19/$Q19,0)</f>
        <v>0.14285714285714285</v>
      </c>
      <c r="AA19" s="189">
        <f t="shared" ref="AA19:AA82" si="12">IF($Q19&lt;&gt;0,L19/$Q19,0)</f>
        <v>7.1428571428571425E-2</v>
      </c>
      <c r="AB19" s="189">
        <f t="shared" ref="AB19:AB82" si="13">IF($Q19&lt;&gt;0,M19/$Q19,0)</f>
        <v>0</v>
      </c>
      <c r="AC19" s="189">
        <f t="shared" ref="AC19:AC82" si="14">IF($Q19&lt;&gt;0,N19/$Q19,0)</f>
        <v>0</v>
      </c>
      <c r="AD19" s="189">
        <f t="shared" ref="AD19:AD82" si="15">IF($Q19&lt;&gt;0,O19/$Q19,0)</f>
        <v>7.1428571428571425E-2</v>
      </c>
      <c r="AE19" s="189">
        <f t="shared" ref="AE19:AE82" si="16">IF($Q19&lt;&gt;0,P19/$Q19,0)</f>
        <v>0</v>
      </c>
      <c r="AF19" s="189">
        <f t="shared" ref="AF19:AF67" si="17">Q19/Q$250</f>
        <v>7.3521688898224981E-4</v>
      </c>
      <c r="AG19" s="189">
        <f>town_establishments[[#This Row],[share of state establishments]]/($AF$250-$AF$249)</f>
        <v>7.6049758270411213E-4</v>
      </c>
      <c r="AH19" s="189">
        <f>town_establishments[[#This Row],[share of state establishments (no residual)]]/(INDEX(regional_establishments[share of state establishments],MATCH(town_establishments[[#This Row],[Regional Planning Commission]],regional_establishments[Regional Planning Commission],0)))</f>
        <v>7.874015748031496E-3</v>
      </c>
    </row>
    <row r="20" spans="1:34" x14ac:dyDescent="0.25">
      <c r="A20" t="s">
        <v>228</v>
      </c>
      <c r="B20" t="str">
        <f>INDEX(town_population[Regional Planning Commission],MATCH(town_establishments[[#This Row],[Municipality]],town_population[Municipality],0))</f>
        <v>Northwest Regional Planning Commission</v>
      </c>
      <c r="C20">
        <v>1</v>
      </c>
      <c r="D20">
        <v>1</v>
      </c>
      <c r="E20">
        <v>2</v>
      </c>
      <c r="L20">
        <v>1</v>
      </c>
      <c r="O20">
        <v>1</v>
      </c>
      <c r="P20">
        <v>1</v>
      </c>
      <c r="Q20">
        <f t="shared" si="1"/>
        <v>7</v>
      </c>
      <c r="R20" s="189">
        <f t="shared" si="2"/>
        <v>0.14285714285714285</v>
      </c>
      <c r="S20" s="189">
        <f t="shared" si="4"/>
        <v>0.14285714285714285</v>
      </c>
      <c r="T20" s="189">
        <f t="shared" si="5"/>
        <v>0.2857142857142857</v>
      </c>
      <c r="U20" s="189">
        <f t="shared" si="6"/>
        <v>0</v>
      </c>
      <c r="V20" s="189">
        <f t="shared" si="7"/>
        <v>0</v>
      </c>
      <c r="W20" s="189">
        <f t="shared" si="8"/>
        <v>0</v>
      </c>
      <c r="X20" s="189">
        <f t="shared" si="9"/>
        <v>0</v>
      </c>
      <c r="Y20" s="189">
        <f t="shared" si="10"/>
        <v>0</v>
      </c>
      <c r="Z20" s="189">
        <f t="shared" si="11"/>
        <v>0</v>
      </c>
      <c r="AA20" s="189">
        <f t="shared" si="12"/>
        <v>0.14285714285714285</v>
      </c>
      <c r="AB20" s="189">
        <f t="shared" si="13"/>
        <v>0</v>
      </c>
      <c r="AC20" s="189">
        <f t="shared" si="14"/>
        <v>0</v>
      </c>
      <c r="AD20" s="189">
        <f t="shared" si="15"/>
        <v>0.14285714285714285</v>
      </c>
      <c r="AE20" s="189">
        <f t="shared" si="16"/>
        <v>0.14285714285714285</v>
      </c>
      <c r="AF20" s="189">
        <f t="shared" si="17"/>
        <v>3.676084444911249E-4</v>
      </c>
      <c r="AG20" s="189">
        <f>town_establishments[[#This Row],[share of state establishments]]/($AF$250-$AF$249)</f>
        <v>3.8024879135205606E-4</v>
      </c>
      <c r="AH20" s="189">
        <f>town_establishments[[#This Row],[share of state establishments (no residual)]]/(INDEX(regional_establishments[share of state establishments],MATCH(town_establishments[[#This Row],[Regional Planning Commission]],regional_establishments[Regional Planning Commission],0)))</f>
        <v>6.8493150684931512E-3</v>
      </c>
    </row>
    <row r="21" spans="1:34" x14ac:dyDescent="0.25">
      <c r="A21" t="s">
        <v>229</v>
      </c>
      <c r="B21" t="str">
        <f>INDEX(town_population[Regional Planning Commission],MATCH(town_establishments[[#This Row],[Municipality]],town_population[Municipality],0))</f>
        <v>Central Vermont Regional Planning Commission</v>
      </c>
      <c r="C21">
        <v>17</v>
      </c>
      <c r="D21">
        <v>47</v>
      </c>
      <c r="E21">
        <v>5</v>
      </c>
      <c r="F21">
        <v>2</v>
      </c>
      <c r="G21">
        <v>12</v>
      </c>
      <c r="H21">
        <v>3</v>
      </c>
      <c r="I21">
        <v>11</v>
      </c>
      <c r="J21">
        <v>1</v>
      </c>
      <c r="K21">
        <v>9</v>
      </c>
      <c r="L21">
        <v>1</v>
      </c>
      <c r="M21">
        <v>39</v>
      </c>
      <c r="N21">
        <v>5</v>
      </c>
      <c r="O21">
        <v>13</v>
      </c>
      <c r="P21">
        <v>17</v>
      </c>
      <c r="Q21">
        <f t="shared" si="1"/>
        <v>182</v>
      </c>
      <c r="R21" s="189">
        <f t="shared" si="2"/>
        <v>9.3406593406593408E-2</v>
      </c>
      <c r="S21" s="189">
        <f t="shared" si="4"/>
        <v>0.25824175824175827</v>
      </c>
      <c r="T21" s="189">
        <f t="shared" si="5"/>
        <v>2.7472527472527472E-2</v>
      </c>
      <c r="U21" s="189">
        <f t="shared" si="6"/>
        <v>1.098901098901099E-2</v>
      </c>
      <c r="V21" s="189">
        <f t="shared" si="7"/>
        <v>6.5934065934065936E-2</v>
      </c>
      <c r="W21" s="189">
        <f t="shared" si="8"/>
        <v>1.6483516483516484E-2</v>
      </c>
      <c r="X21" s="189">
        <f t="shared" si="9"/>
        <v>6.043956043956044E-2</v>
      </c>
      <c r="Y21" s="189">
        <f t="shared" si="10"/>
        <v>5.4945054945054949E-3</v>
      </c>
      <c r="Z21" s="189">
        <f t="shared" si="11"/>
        <v>4.9450549450549448E-2</v>
      </c>
      <c r="AA21" s="189">
        <f t="shared" si="12"/>
        <v>5.4945054945054949E-3</v>
      </c>
      <c r="AB21" s="189">
        <f t="shared" si="13"/>
        <v>0.21428571428571427</v>
      </c>
      <c r="AC21" s="189">
        <f t="shared" si="14"/>
        <v>2.7472527472527472E-2</v>
      </c>
      <c r="AD21" s="189">
        <f t="shared" si="15"/>
        <v>7.1428571428571425E-2</v>
      </c>
      <c r="AE21" s="189">
        <f t="shared" si="16"/>
        <v>9.3406593406593408E-2</v>
      </c>
      <c r="AF21" s="189">
        <f t="shared" si="17"/>
        <v>9.5578195567692474E-3</v>
      </c>
      <c r="AG21" s="189">
        <f>town_establishments[[#This Row],[share of state establishments]]/($AF$250-$AF$249)</f>
        <v>9.8864685751534585E-3</v>
      </c>
      <c r="AH21" s="189">
        <f>town_establishments[[#This Row],[share of state establishments (no residual)]]/(INDEX(regional_establishments[share of state establishments],MATCH(town_establishments[[#This Row],[Regional Planning Commission]],regional_establishments[Regional Planning Commission],0)))</f>
        <v>8.9699359290290798E-2</v>
      </c>
    </row>
    <row r="22" spans="1:34" x14ac:dyDescent="0.25">
      <c r="A22" t="s">
        <v>230</v>
      </c>
      <c r="B22" t="str">
        <f>INDEX(town_population[Regional Planning Commission],MATCH(town_establishments[[#This Row],[Municipality]],town_population[Municipality],0))</f>
        <v>Two Rivers-Ottauquechee Regional Commission</v>
      </c>
      <c r="C22">
        <v>5</v>
      </c>
      <c r="D22">
        <v>14</v>
      </c>
      <c r="E22">
        <v>1</v>
      </c>
      <c r="F22">
        <v>2</v>
      </c>
      <c r="G22">
        <v>5</v>
      </c>
      <c r="I22">
        <v>9</v>
      </c>
      <c r="K22">
        <v>3</v>
      </c>
      <c r="L22">
        <v>2</v>
      </c>
      <c r="M22">
        <v>3</v>
      </c>
      <c r="N22">
        <v>1</v>
      </c>
      <c r="O22">
        <v>7</v>
      </c>
      <c r="P22">
        <v>4</v>
      </c>
      <c r="Q22">
        <f t="shared" si="1"/>
        <v>56</v>
      </c>
      <c r="R22" s="189">
        <f t="shared" si="2"/>
        <v>8.9285714285714288E-2</v>
      </c>
      <c r="S22" s="189">
        <f t="shared" si="4"/>
        <v>0.25</v>
      </c>
      <c r="T22" s="189">
        <f t="shared" si="5"/>
        <v>1.7857142857142856E-2</v>
      </c>
      <c r="U22" s="189">
        <f t="shared" si="6"/>
        <v>3.5714285714285712E-2</v>
      </c>
      <c r="V22" s="189">
        <f t="shared" si="7"/>
        <v>8.9285714285714288E-2</v>
      </c>
      <c r="W22" s="189">
        <f t="shared" si="8"/>
        <v>0</v>
      </c>
      <c r="X22" s="189">
        <f t="shared" si="9"/>
        <v>0.16071428571428573</v>
      </c>
      <c r="Y22" s="189">
        <f t="shared" si="10"/>
        <v>0</v>
      </c>
      <c r="Z22" s="189">
        <f t="shared" si="11"/>
        <v>5.3571428571428568E-2</v>
      </c>
      <c r="AA22" s="189">
        <f t="shared" si="12"/>
        <v>3.5714285714285712E-2</v>
      </c>
      <c r="AB22" s="189">
        <f t="shared" si="13"/>
        <v>5.3571428571428568E-2</v>
      </c>
      <c r="AC22" s="189">
        <f t="shared" si="14"/>
        <v>1.7857142857142856E-2</v>
      </c>
      <c r="AD22" s="189">
        <f t="shared" si="15"/>
        <v>0.125</v>
      </c>
      <c r="AE22" s="189">
        <f t="shared" si="16"/>
        <v>7.1428571428571425E-2</v>
      </c>
      <c r="AF22" s="189">
        <f t="shared" si="17"/>
        <v>2.9408675559289992E-3</v>
      </c>
      <c r="AG22" s="189">
        <f>town_establishments[[#This Row],[share of state establishments]]/($AF$250-$AF$249)</f>
        <v>3.0419903308164485E-3</v>
      </c>
      <c r="AH22" s="189">
        <f>town_establishments[[#This Row],[share of state establishments (no residual)]]/(INDEX(regional_establishments[share of state establishments],MATCH(town_establishments[[#This Row],[Regional Planning Commission]],regional_establishments[Regional Planning Commission],0)))</f>
        <v>3.4567901234567905E-2</v>
      </c>
    </row>
    <row r="23" spans="1:34" x14ac:dyDescent="0.25">
      <c r="A23" t="s">
        <v>231</v>
      </c>
      <c r="B23" t="str">
        <f>INDEX(town_population[Regional Planning Commission],MATCH(town_establishments[[#This Row],[Municipality]],town_population[Municipality],0))</f>
        <v>Northeastern Vermont Development Association</v>
      </c>
      <c r="G23">
        <v>1</v>
      </c>
      <c r="K23">
        <v>1</v>
      </c>
      <c r="Q23">
        <f t="shared" si="1"/>
        <v>2</v>
      </c>
      <c r="R23" s="189">
        <f t="shared" si="2"/>
        <v>0</v>
      </c>
      <c r="S23" s="189">
        <f t="shared" si="4"/>
        <v>0</v>
      </c>
      <c r="T23" s="189">
        <f t="shared" si="5"/>
        <v>0</v>
      </c>
      <c r="U23" s="189">
        <f t="shared" si="6"/>
        <v>0</v>
      </c>
      <c r="V23" s="189">
        <f t="shared" si="7"/>
        <v>0.5</v>
      </c>
      <c r="W23" s="189">
        <f t="shared" si="8"/>
        <v>0</v>
      </c>
      <c r="X23" s="189">
        <f t="shared" si="9"/>
        <v>0</v>
      </c>
      <c r="Y23" s="189">
        <f t="shared" si="10"/>
        <v>0</v>
      </c>
      <c r="Z23" s="189">
        <f t="shared" si="11"/>
        <v>0.5</v>
      </c>
      <c r="AA23" s="189">
        <f t="shared" si="12"/>
        <v>0</v>
      </c>
      <c r="AB23" s="189">
        <f t="shared" si="13"/>
        <v>0</v>
      </c>
      <c r="AC23" s="189">
        <f t="shared" si="14"/>
        <v>0</v>
      </c>
      <c r="AD23" s="189">
        <f t="shared" si="15"/>
        <v>0</v>
      </c>
      <c r="AE23" s="189">
        <f t="shared" si="16"/>
        <v>0</v>
      </c>
      <c r="AF23" s="189">
        <f t="shared" si="17"/>
        <v>1.0503098414032139E-4</v>
      </c>
      <c r="AG23" s="189">
        <f>town_establishments[[#This Row],[share of state establishments]]/($AF$250-$AF$249)</f>
        <v>1.0864251181487315E-4</v>
      </c>
      <c r="AH23" s="189">
        <f>town_establishments[[#This Row],[share of state establishments (no residual)]]/(INDEX(regional_establishments[share of state establishments],MATCH(town_establishments[[#This Row],[Regional Planning Commission]],regional_establishments[Regional Planning Commission],0)))</f>
        <v>1.3708019191226866E-3</v>
      </c>
    </row>
    <row r="24" spans="1:34" x14ac:dyDescent="0.25">
      <c r="A24" t="s">
        <v>232</v>
      </c>
      <c r="B24" t="str">
        <f>INDEX(town_population[Regional Planning Commission],MATCH(town_establishments[[#This Row],[Municipality]],town_population[Municipality],0))</f>
        <v>Chittenden County Regional Planning Commission</v>
      </c>
      <c r="C24">
        <v>1</v>
      </c>
      <c r="D24">
        <v>2</v>
      </c>
      <c r="H24">
        <v>1</v>
      </c>
      <c r="I24">
        <v>5</v>
      </c>
      <c r="K24">
        <v>1</v>
      </c>
      <c r="L24">
        <v>2</v>
      </c>
      <c r="N24">
        <v>1</v>
      </c>
      <c r="O24">
        <v>1</v>
      </c>
      <c r="Q24">
        <f t="shared" si="1"/>
        <v>14</v>
      </c>
      <c r="R24" s="189">
        <f t="shared" si="2"/>
        <v>7.1428571428571425E-2</v>
      </c>
      <c r="S24" s="189">
        <f t="shared" si="4"/>
        <v>0.14285714285714285</v>
      </c>
      <c r="T24" s="189">
        <f t="shared" si="5"/>
        <v>0</v>
      </c>
      <c r="U24" s="189">
        <f t="shared" si="6"/>
        <v>0</v>
      </c>
      <c r="V24" s="189">
        <f t="shared" si="7"/>
        <v>0</v>
      </c>
      <c r="W24" s="189">
        <f t="shared" si="8"/>
        <v>7.1428571428571425E-2</v>
      </c>
      <c r="X24" s="189">
        <f t="shared" si="9"/>
        <v>0.35714285714285715</v>
      </c>
      <c r="Y24" s="189">
        <f t="shared" si="10"/>
        <v>0</v>
      </c>
      <c r="Z24" s="189">
        <f t="shared" si="11"/>
        <v>7.1428571428571425E-2</v>
      </c>
      <c r="AA24" s="189">
        <f t="shared" si="12"/>
        <v>0.14285714285714285</v>
      </c>
      <c r="AB24" s="189">
        <f t="shared" si="13"/>
        <v>0</v>
      </c>
      <c r="AC24" s="189">
        <f t="shared" si="14"/>
        <v>7.1428571428571425E-2</v>
      </c>
      <c r="AD24" s="189">
        <f t="shared" si="15"/>
        <v>7.1428571428571425E-2</v>
      </c>
      <c r="AE24" s="189">
        <f t="shared" si="16"/>
        <v>0</v>
      </c>
      <c r="AF24" s="189">
        <f t="shared" si="17"/>
        <v>7.3521688898224981E-4</v>
      </c>
      <c r="AG24" s="189">
        <f>town_establishments[[#This Row],[share of state establishments]]/($AF$250-$AF$249)</f>
        <v>7.6049758270411213E-4</v>
      </c>
      <c r="AH24" s="189">
        <f>town_establishments[[#This Row],[share of state establishments (no residual)]]/(INDEX(regional_establishments[share of state establishments],MATCH(town_establishments[[#This Row],[Regional Planning Commission]],regional_establishments[Regional Planning Commission],0)))</f>
        <v>2.5835024912345458E-3</v>
      </c>
    </row>
    <row r="25" spans="1:34" x14ac:dyDescent="0.25">
      <c r="A25" t="s">
        <v>234</v>
      </c>
      <c r="B25" t="str">
        <f>INDEX(town_population[Regional Planning Commission],MATCH(town_establishments[[#This Row],[Municipality]],town_population[Municipality],0))</f>
        <v>Two Rivers-Ottauquechee Regional Commission</v>
      </c>
      <c r="C25">
        <v>2</v>
      </c>
      <c r="D25">
        <v>16</v>
      </c>
      <c r="E25">
        <v>2</v>
      </c>
      <c r="F25">
        <v>2</v>
      </c>
      <c r="G25">
        <v>7</v>
      </c>
      <c r="H25">
        <v>3</v>
      </c>
      <c r="I25">
        <v>6</v>
      </c>
      <c r="J25">
        <v>1</v>
      </c>
      <c r="K25">
        <v>4</v>
      </c>
      <c r="L25">
        <v>2</v>
      </c>
      <c r="M25">
        <v>17</v>
      </c>
      <c r="N25">
        <v>2</v>
      </c>
      <c r="O25">
        <v>9</v>
      </c>
      <c r="P25">
        <v>12</v>
      </c>
      <c r="Q25">
        <f t="shared" si="1"/>
        <v>85</v>
      </c>
      <c r="R25" s="189">
        <f t="shared" si="2"/>
        <v>2.3529411764705882E-2</v>
      </c>
      <c r="S25" s="189">
        <f t="shared" si="4"/>
        <v>0.18823529411764706</v>
      </c>
      <c r="T25" s="189">
        <f t="shared" si="5"/>
        <v>2.3529411764705882E-2</v>
      </c>
      <c r="U25" s="189">
        <f t="shared" si="6"/>
        <v>2.3529411764705882E-2</v>
      </c>
      <c r="V25" s="189">
        <f t="shared" si="7"/>
        <v>8.2352941176470587E-2</v>
      </c>
      <c r="W25" s="189">
        <f t="shared" si="8"/>
        <v>3.5294117647058823E-2</v>
      </c>
      <c r="X25" s="189">
        <f t="shared" si="9"/>
        <v>7.0588235294117646E-2</v>
      </c>
      <c r="Y25" s="189">
        <f t="shared" si="10"/>
        <v>1.1764705882352941E-2</v>
      </c>
      <c r="Z25" s="189">
        <f t="shared" si="11"/>
        <v>4.7058823529411764E-2</v>
      </c>
      <c r="AA25" s="189">
        <f t="shared" si="12"/>
        <v>2.3529411764705882E-2</v>
      </c>
      <c r="AB25" s="189">
        <f t="shared" si="13"/>
        <v>0.2</v>
      </c>
      <c r="AC25" s="189">
        <f t="shared" si="14"/>
        <v>2.3529411764705882E-2</v>
      </c>
      <c r="AD25" s="189">
        <f t="shared" si="15"/>
        <v>0.10588235294117647</v>
      </c>
      <c r="AE25" s="189">
        <f t="shared" si="16"/>
        <v>0.14117647058823529</v>
      </c>
      <c r="AF25" s="189">
        <f t="shared" si="17"/>
        <v>4.4638168259636592E-3</v>
      </c>
      <c r="AG25" s="189">
        <f>town_establishments[[#This Row],[share of state establishments]]/($AF$250-$AF$249)</f>
        <v>4.617306752132109E-3</v>
      </c>
      <c r="AH25" s="189">
        <f>town_establishments[[#This Row],[share of state establishments (no residual)]]/(INDEX(regional_establishments[share of state establishments],MATCH(town_establishments[[#This Row],[Regional Planning Commission]],regional_establishments[Regional Planning Commission],0)))</f>
        <v>5.246913580246914E-2</v>
      </c>
    </row>
    <row r="26" spans="1:34" x14ac:dyDescent="0.25">
      <c r="A26" t="s">
        <v>235</v>
      </c>
      <c r="B26" t="str">
        <f>INDEX(town_population[Regional Planning Commission],MATCH(town_establishments[[#This Row],[Municipality]],town_population[Municipality],0))</f>
        <v>Two Rivers-Ottauquechee Regional Commission</v>
      </c>
      <c r="C26">
        <v>1</v>
      </c>
      <c r="E26">
        <v>0</v>
      </c>
      <c r="I26">
        <v>2</v>
      </c>
      <c r="K26">
        <v>1</v>
      </c>
      <c r="L26">
        <v>1</v>
      </c>
      <c r="O26">
        <v>1</v>
      </c>
      <c r="P26">
        <v>2</v>
      </c>
      <c r="Q26">
        <f t="shared" si="1"/>
        <v>8</v>
      </c>
      <c r="R26" s="189">
        <f t="shared" si="2"/>
        <v>0.125</v>
      </c>
      <c r="S26" s="189">
        <f t="shared" si="4"/>
        <v>0</v>
      </c>
      <c r="T26" s="189">
        <f t="shared" si="5"/>
        <v>0</v>
      </c>
      <c r="U26" s="189">
        <f t="shared" si="6"/>
        <v>0</v>
      </c>
      <c r="V26" s="189">
        <f t="shared" si="7"/>
        <v>0</v>
      </c>
      <c r="W26" s="189">
        <f t="shared" si="8"/>
        <v>0</v>
      </c>
      <c r="X26" s="189">
        <f t="shared" si="9"/>
        <v>0.25</v>
      </c>
      <c r="Y26" s="189">
        <f t="shared" si="10"/>
        <v>0</v>
      </c>
      <c r="Z26" s="189">
        <f t="shared" si="11"/>
        <v>0.125</v>
      </c>
      <c r="AA26" s="189">
        <f t="shared" si="12"/>
        <v>0.125</v>
      </c>
      <c r="AB26" s="189">
        <f t="shared" si="13"/>
        <v>0</v>
      </c>
      <c r="AC26" s="189">
        <f t="shared" si="14"/>
        <v>0</v>
      </c>
      <c r="AD26" s="189">
        <f t="shared" si="15"/>
        <v>0.125</v>
      </c>
      <c r="AE26" s="189">
        <f t="shared" si="16"/>
        <v>0.25</v>
      </c>
      <c r="AF26" s="189">
        <f t="shared" si="17"/>
        <v>4.2012393656128556E-4</v>
      </c>
      <c r="AG26" s="189">
        <f>town_establishments[[#This Row],[share of state establishments]]/($AF$250-$AF$249)</f>
        <v>4.3457004725949261E-4</v>
      </c>
      <c r="AH26" s="189">
        <f>town_establishments[[#This Row],[share of state establishments (no residual)]]/(INDEX(regional_establishments[share of state establishments],MATCH(town_establishments[[#This Row],[Regional Planning Commission]],regional_establishments[Regional Planning Commission],0)))</f>
        <v>4.9382716049382715E-3</v>
      </c>
    </row>
    <row r="27" spans="1:34" x14ac:dyDescent="0.25">
      <c r="A27" t="s">
        <v>236</v>
      </c>
      <c r="B27" t="str">
        <f>INDEX(town_population[Regional Planning Commission],MATCH(town_establishments[[#This Row],[Municipality]],town_population[Municipality],0))</f>
        <v>Rutland Regional Planning Commission</v>
      </c>
      <c r="C27">
        <v>7</v>
      </c>
      <c r="D27">
        <v>25</v>
      </c>
      <c r="E27">
        <v>1</v>
      </c>
      <c r="F27">
        <v>4</v>
      </c>
      <c r="G27">
        <v>2</v>
      </c>
      <c r="H27">
        <v>1</v>
      </c>
      <c r="I27">
        <v>6</v>
      </c>
      <c r="K27">
        <v>4</v>
      </c>
      <c r="L27">
        <v>2</v>
      </c>
      <c r="M27">
        <v>9</v>
      </c>
      <c r="N27">
        <v>2</v>
      </c>
      <c r="O27">
        <v>12</v>
      </c>
      <c r="P27">
        <v>11</v>
      </c>
      <c r="Q27">
        <f t="shared" si="1"/>
        <v>86</v>
      </c>
      <c r="R27" s="189">
        <f t="shared" si="2"/>
        <v>8.1395348837209308E-2</v>
      </c>
      <c r="S27" s="189">
        <f t="shared" si="4"/>
        <v>0.29069767441860467</v>
      </c>
      <c r="T27" s="189">
        <f t="shared" si="5"/>
        <v>1.1627906976744186E-2</v>
      </c>
      <c r="U27" s="189">
        <f t="shared" si="6"/>
        <v>4.6511627906976744E-2</v>
      </c>
      <c r="V27" s="189">
        <f t="shared" si="7"/>
        <v>2.3255813953488372E-2</v>
      </c>
      <c r="W27" s="189">
        <f t="shared" si="8"/>
        <v>1.1627906976744186E-2</v>
      </c>
      <c r="X27" s="189">
        <f t="shared" si="9"/>
        <v>6.9767441860465115E-2</v>
      </c>
      <c r="Y27" s="189">
        <f t="shared" si="10"/>
        <v>0</v>
      </c>
      <c r="Z27" s="189">
        <f t="shared" si="11"/>
        <v>4.6511627906976744E-2</v>
      </c>
      <c r="AA27" s="189">
        <f t="shared" si="12"/>
        <v>2.3255813953488372E-2</v>
      </c>
      <c r="AB27" s="189">
        <f t="shared" si="13"/>
        <v>0.10465116279069768</v>
      </c>
      <c r="AC27" s="189">
        <f t="shared" si="14"/>
        <v>2.3255813953488372E-2</v>
      </c>
      <c r="AD27" s="189">
        <f t="shared" si="15"/>
        <v>0.13953488372093023</v>
      </c>
      <c r="AE27" s="189">
        <f t="shared" si="16"/>
        <v>0.12790697674418605</v>
      </c>
      <c r="AF27" s="189">
        <f t="shared" si="17"/>
        <v>4.5163323180338203E-3</v>
      </c>
      <c r="AG27" s="189">
        <f>town_establishments[[#This Row],[share of state establishments]]/($AF$250-$AF$249)</f>
        <v>4.6716280080395462E-3</v>
      </c>
      <c r="AH27" s="189">
        <f>town_establishments[[#This Row],[share of state establishments (no residual)]]/(INDEX(regional_establishments[share of state establishments],MATCH(town_establishments[[#This Row],[Regional Planning Commission]],regional_establishments[Regional Planning Commission],0)))</f>
        <v>4.8368953880764905E-2</v>
      </c>
    </row>
    <row r="28" spans="1:34" x14ac:dyDescent="0.25">
      <c r="A28" t="s">
        <v>237</v>
      </c>
      <c r="B28" t="str">
        <f>INDEX(town_population[Regional Planning Commission],MATCH(town_establishments[[#This Row],[Municipality]],town_population[Municipality],0))</f>
        <v>Windham Regional Commission</v>
      </c>
      <c r="C28">
        <v>41</v>
      </c>
      <c r="D28">
        <v>109</v>
      </c>
      <c r="E28">
        <v>9</v>
      </c>
      <c r="F28">
        <v>18</v>
      </c>
      <c r="G28">
        <v>27</v>
      </c>
      <c r="H28">
        <v>28</v>
      </c>
      <c r="I28">
        <v>69</v>
      </c>
      <c r="J28">
        <v>2</v>
      </c>
      <c r="K28">
        <v>32</v>
      </c>
      <c r="L28">
        <v>26</v>
      </c>
      <c r="M28">
        <v>97</v>
      </c>
      <c r="N28">
        <v>14</v>
      </c>
      <c r="O28">
        <v>72</v>
      </c>
      <c r="P28">
        <v>62</v>
      </c>
      <c r="Q28">
        <f t="shared" si="1"/>
        <v>606</v>
      </c>
      <c r="R28" s="189">
        <f t="shared" si="2"/>
        <v>6.7656765676567657E-2</v>
      </c>
      <c r="S28" s="189">
        <f t="shared" si="4"/>
        <v>0.17986798679867988</v>
      </c>
      <c r="T28" s="189">
        <f t="shared" si="5"/>
        <v>1.4851485148514851E-2</v>
      </c>
      <c r="U28" s="189">
        <f t="shared" si="6"/>
        <v>2.9702970297029702E-2</v>
      </c>
      <c r="V28" s="189">
        <f t="shared" si="7"/>
        <v>4.4554455445544552E-2</v>
      </c>
      <c r="W28" s="189">
        <f t="shared" si="8"/>
        <v>4.6204620462046202E-2</v>
      </c>
      <c r="X28" s="189">
        <f t="shared" si="9"/>
        <v>0.11386138613861387</v>
      </c>
      <c r="Y28" s="189">
        <f t="shared" si="10"/>
        <v>3.3003300330033004E-3</v>
      </c>
      <c r="Z28" s="189">
        <f t="shared" si="11"/>
        <v>5.2805280528052806E-2</v>
      </c>
      <c r="AA28" s="189">
        <f t="shared" si="12"/>
        <v>4.2904290429042903E-2</v>
      </c>
      <c r="AB28" s="189">
        <f t="shared" si="13"/>
        <v>0.16006600660066006</v>
      </c>
      <c r="AC28" s="189">
        <f t="shared" si="14"/>
        <v>2.3102310231023101E-2</v>
      </c>
      <c r="AD28" s="189">
        <f t="shared" si="15"/>
        <v>0.11881188118811881</v>
      </c>
      <c r="AE28" s="189">
        <f t="shared" si="16"/>
        <v>0.10231023102310231</v>
      </c>
      <c r="AF28" s="189">
        <f t="shared" si="17"/>
        <v>3.1824388194517383E-2</v>
      </c>
      <c r="AG28" s="189">
        <f>town_establishments[[#This Row],[share of state establishments]]/($AF$250-$AF$249)</f>
        <v>3.2918681079906566E-2</v>
      </c>
      <c r="AH28" s="189">
        <f>town_establishments[[#This Row],[share of state establishments (no residual)]]/(INDEX(regional_establishments[share of state establishments],MATCH(town_establishments[[#This Row],[Regional Planning Commission]],regional_establishments[Regional Planning Commission],0)))</f>
        <v>0.39021249195106245</v>
      </c>
    </row>
    <row r="29" spans="1:34" x14ac:dyDescent="0.25">
      <c r="A29" t="s">
        <v>238</v>
      </c>
      <c r="B29" t="str">
        <f>INDEX(town_population[Regional Planning Commission],MATCH(town_establishments[[#This Row],[Municipality]],town_population[Municipality],0))</f>
        <v>Two Rivers-Ottauquechee Regional Commission</v>
      </c>
      <c r="D29">
        <v>4</v>
      </c>
      <c r="E29">
        <v>2</v>
      </c>
      <c r="I29">
        <v>4</v>
      </c>
      <c r="K29">
        <v>3</v>
      </c>
      <c r="L29">
        <v>1</v>
      </c>
      <c r="N29">
        <v>1</v>
      </c>
      <c r="O29">
        <v>4</v>
      </c>
      <c r="P29">
        <v>2</v>
      </c>
      <c r="Q29">
        <f t="shared" si="1"/>
        <v>21</v>
      </c>
      <c r="R29" s="189">
        <f t="shared" si="2"/>
        <v>0</v>
      </c>
      <c r="S29" s="189">
        <f t="shared" si="4"/>
        <v>0.19047619047619047</v>
      </c>
      <c r="T29" s="189">
        <f t="shared" si="5"/>
        <v>9.5238095238095233E-2</v>
      </c>
      <c r="U29" s="189">
        <f t="shared" si="6"/>
        <v>0</v>
      </c>
      <c r="V29" s="189">
        <f t="shared" si="7"/>
        <v>0</v>
      </c>
      <c r="W29" s="189">
        <f t="shared" si="8"/>
        <v>0</v>
      </c>
      <c r="X29" s="189">
        <f t="shared" si="9"/>
        <v>0.19047619047619047</v>
      </c>
      <c r="Y29" s="189">
        <f t="shared" si="10"/>
        <v>0</v>
      </c>
      <c r="Z29" s="189">
        <f t="shared" si="11"/>
        <v>0.14285714285714285</v>
      </c>
      <c r="AA29" s="189">
        <f t="shared" si="12"/>
        <v>4.7619047619047616E-2</v>
      </c>
      <c r="AB29" s="189">
        <f t="shared" si="13"/>
        <v>0</v>
      </c>
      <c r="AC29" s="189">
        <f t="shared" si="14"/>
        <v>4.7619047619047616E-2</v>
      </c>
      <c r="AD29" s="189">
        <f t="shared" si="15"/>
        <v>0.19047619047619047</v>
      </c>
      <c r="AE29" s="189">
        <f t="shared" si="16"/>
        <v>9.5238095238095233E-2</v>
      </c>
      <c r="AF29" s="189">
        <f t="shared" si="17"/>
        <v>1.1028253334733746E-3</v>
      </c>
      <c r="AG29" s="189">
        <f>town_establishments[[#This Row],[share of state establishments]]/($AF$250-$AF$249)</f>
        <v>1.140746374056168E-3</v>
      </c>
      <c r="AH29" s="189">
        <f>town_establishments[[#This Row],[share of state establishments (no residual)]]/(INDEX(regional_establishments[share of state establishments],MATCH(town_establishments[[#This Row],[Regional Planning Commission]],regional_establishments[Regional Planning Commission],0)))</f>
        <v>1.2962962962962963E-2</v>
      </c>
    </row>
    <row r="30" spans="1:34" x14ac:dyDescent="0.25">
      <c r="A30" t="s">
        <v>239</v>
      </c>
      <c r="B30" t="str">
        <f>INDEX(town_population[Regional Planning Commission],MATCH(town_establishments[[#This Row],[Municipality]],town_population[Municipality],0))</f>
        <v>Addison County Regional Planning Commission</v>
      </c>
      <c r="C30">
        <v>3</v>
      </c>
      <c r="D30">
        <v>4</v>
      </c>
      <c r="E30">
        <v>3</v>
      </c>
      <c r="G30">
        <v>2</v>
      </c>
      <c r="I30">
        <v>7</v>
      </c>
      <c r="K30">
        <v>3</v>
      </c>
      <c r="L30">
        <v>1</v>
      </c>
      <c r="M30">
        <v>1</v>
      </c>
      <c r="Q30">
        <f t="shared" si="1"/>
        <v>24</v>
      </c>
      <c r="R30" s="189">
        <f t="shared" si="2"/>
        <v>0.125</v>
      </c>
      <c r="S30" s="189">
        <f t="shared" si="4"/>
        <v>0.16666666666666666</v>
      </c>
      <c r="T30" s="189">
        <f t="shared" si="5"/>
        <v>0.125</v>
      </c>
      <c r="U30" s="189">
        <f t="shared" si="6"/>
        <v>0</v>
      </c>
      <c r="V30" s="189">
        <f t="shared" si="7"/>
        <v>8.3333333333333329E-2</v>
      </c>
      <c r="W30" s="189">
        <f t="shared" si="8"/>
        <v>0</v>
      </c>
      <c r="X30" s="189">
        <f t="shared" si="9"/>
        <v>0.29166666666666669</v>
      </c>
      <c r="Y30" s="189">
        <f t="shared" si="10"/>
        <v>0</v>
      </c>
      <c r="Z30" s="189">
        <f t="shared" si="11"/>
        <v>0.125</v>
      </c>
      <c r="AA30" s="189">
        <f t="shared" si="12"/>
        <v>4.1666666666666664E-2</v>
      </c>
      <c r="AB30" s="189">
        <f t="shared" si="13"/>
        <v>4.1666666666666664E-2</v>
      </c>
      <c r="AC30" s="189">
        <f t="shared" si="14"/>
        <v>0</v>
      </c>
      <c r="AD30" s="189">
        <f t="shared" si="15"/>
        <v>0</v>
      </c>
      <c r="AE30" s="189">
        <f t="shared" si="16"/>
        <v>0</v>
      </c>
      <c r="AF30" s="189">
        <f t="shared" si="17"/>
        <v>1.2603718096838568E-3</v>
      </c>
      <c r="AG30" s="189">
        <f>town_establishments[[#This Row],[share of state establishments]]/($AF$250-$AF$249)</f>
        <v>1.3037101417784779E-3</v>
      </c>
      <c r="AH30" s="189">
        <f>town_establishments[[#This Row],[share of state establishments (no residual)]]/(INDEX(regional_establishments[share of state establishments],MATCH(town_establishments[[#This Row],[Regional Planning Commission]],regional_establishments[Regional Planning Commission],0)))</f>
        <v>2.5641025641025644E-2</v>
      </c>
    </row>
    <row r="31" spans="1:34" x14ac:dyDescent="0.25">
      <c r="A31" t="s">
        <v>240</v>
      </c>
      <c r="B31" t="str">
        <f>INDEX(town_population[Regional Planning Commission],MATCH(town_establishments[[#This Row],[Municipality]],town_population[Municipality],0))</f>
        <v>Northeastern Vermont Development Association</v>
      </c>
      <c r="C31">
        <v>3</v>
      </c>
      <c r="D31">
        <v>7</v>
      </c>
      <c r="E31">
        <v>3</v>
      </c>
      <c r="F31">
        <v>2</v>
      </c>
      <c r="G31">
        <v>2</v>
      </c>
      <c r="H31">
        <v>1</v>
      </c>
      <c r="I31">
        <v>1</v>
      </c>
      <c r="K31">
        <v>3</v>
      </c>
      <c r="L31">
        <v>1</v>
      </c>
      <c r="M31">
        <v>4</v>
      </c>
      <c r="N31">
        <v>2</v>
      </c>
      <c r="O31">
        <v>5</v>
      </c>
      <c r="P31">
        <v>2</v>
      </c>
      <c r="Q31">
        <f t="shared" si="1"/>
        <v>36</v>
      </c>
      <c r="R31" s="189">
        <f t="shared" si="2"/>
        <v>8.3333333333333329E-2</v>
      </c>
      <c r="S31" s="189">
        <f t="shared" si="4"/>
        <v>0.19444444444444445</v>
      </c>
      <c r="T31" s="189">
        <f t="shared" si="5"/>
        <v>8.3333333333333329E-2</v>
      </c>
      <c r="U31" s="189">
        <f t="shared" si="6"/>
        <v>5.5555555555555552E-2</v>
      </c>
      <c r="V31" s="189">
        <f t="shared" si="7"/>
        <v>5.5555555555555552E-2</v>
      </c>
      <c r="W31" s="189">
        <f t="shared" si="8"/>
        <v>2.7777777777777776E-2</v>
      </c>
      <c r="X31" s="189">
        <f t="shared" si="9"/>
        <v>2.7777777777777776E-2</v>
      </c>
      <c r="Y31" s="189">
        <f t="shared" si="10"/>
        <v>0</v>
      </c>
      <c r="Z31" s="189">
        <f t="shared" si="11"/>
        <v>8.3333333333333329E-2</v>
      </c>
      <c r="AA31" s="189">
        <f t="shared" si="12"/>
        <v>2.7777777777777776E-2</v>
      </c>
      <c r="AB31" s="189">
        <f t="shared" si="13"/>
        <v>0.1111111111111111</v>
      </c>
      <c r="AC31" s="189">
        <f t="shared" si="14"/>
        <v>5.5555555555555552E-2</v>
      </c>
      <c r="AD31" s="189">
        <f t="shared" si="15"/>
        <v>0.1388888888888889</v>
      </c>
      <c r="AE31" s="189">
        <f t="shared" si="16"/>
        <v>5.5555555555555552E-2</v>
      </c>
      <c r="AF31" s="189">
        <f t="shared" si="17"/>
        <v>1.8905577145257851E-3</v>
      </c>
      <c r="AG31" s="189">
        <f>town_establishments[[#This Row],[share of state establishments]]/($AF$250-$AF$249)</f>
        <v>1.955565212667717E-3</v>
      </c>
      <c r="AH31" s="189">
        <f>town_establishments[[#This Row],[share of state establishments (no residual)]]/(INDEX(regional_establishments[share of state establishments],MATCH(town_establishments[[#This Row],[Regional Planning Commission]],regional_establishments[Regional Planning Commission],0)))</f>
        <v>2.4674434544208364E-2</v>
      </c>
    </row>
    <row r="32" spans="1:34" x14ac:dyDescent="0.25">
      <c r="A32" t="s">
        <v>241</v>
      </c>
      <c r="B32" t="str">
        <f>INDEX(town_population[Regional Planning Commission],MATCH(town_establishments[[#This Row],[Municipality]],town_population[Municipality],0))</f>
        <v>Addison County Regional Planning Commission</v>
      </c>
      <c r="C32">
        <v>3</v>
      </c>
      <c r="D32">
        <v>18</v>
      </c>
      <c r="E32">
        <v>3</v>
      </c>
      <c r="F32">
        <v>2</v>
      </c>
      <c r="G32">
        <v>7</v>
      </c>
      <c r="H32">
        <v>1</v>
      </c>
      <c r="I32">
        <v>30</v>
      </c>
      <c r="K32">
        <v>12</v>
      </c>
      <c r="L32">
        <v>2</v>
      </c>
      <c r="M32">
        <v>13</v>
      </c>
      <c r="N32">
        <v>2</v>
      </c>
      <c r="O32">
        <v>10</v>
      </c>
      <c r="P32">
        <v>12</v>
      </c>
      <c r="Q32">
        <f t="shared" si="1"/>
        <v>115</v>
      </c>
      <c r="R32" s="189">
        <f t="shared" si="2"/>
        <v>2.6086956521739129E-2</v>
      </c>
      <c r="S32" s="189">
        <f t="shared" si="4"/>
        <v>0.15652173913043479</v>
      </c>
      <c r="T32" s="189">
        <f t="shared" si="5"/>
        <v>2.6086956521739129E-2</v>
      </c>
      <c r="U32" s="189">
        <f t="shared" si="6"/>
        <v>1.7391304347826087E-2</v>
      </c>
      <c r="V32" s="189">
        <f t="shared" si="7"/>
        <v>6.0869565217391307E-2</v>
      </c>
      <c r="W32" s="189">
        <f t="shared" si="8"/>
        <v>8.6956521739130436E-3</v>
      </c>
      <c r="X32" s="189">
        <f t="shared" si="9"/>
        <v>0.2608695652173913</v>
      </c>
      <c r="Y32" s="189">
        <f t="shared" si="10"/>
        <v>0</v>
      </c>
      <c r="Z32" s="189">
        <f t="shared" si="11"/>
        <v>0.10434782608695652</v>
      </c>
      <c r="AA32" s="189">
        <f t="shared" si="12"/>
        <v>1.7391304347826087E-2</v>
      </c>
      <c r="AB32" s="189">
        <f t="shared" si="13"/>
        <v>0.11304347826086956</v>
      </c>
      <c r="AC32" s="189">
        <f t="shared" si="14"/>
        <v>1.7391304347826087E-2</v>
      </c>
      <c r="AD32" s="189">
        <f t="shared" si="15"/>
        <v>8.6956521739130432E-2</v>
      </c>
      <c r="AE32" s="189">
        <f t="shared" si="16"/>
        <v>0.10434782608695652</v>
      </c>
      <c r="AF32" s="189">
        <f t="shared" si="17"/>
        <v>6.0392815880684798E-3</v>
      </c>
      <c r="AG32" s="189">
        <f>town_establishments[[#This Row],[share of state establishments]]/($AF$250-$AF$249)</f>
        <v>6.2469444293552058E-3</v>
      </c>
      <c r="AH32" s="189">
        <f>town_establishments[[#This Row],[share of state establishments (no residual)]]/(INDEX(regional_establishments[share of state establishments],MATCH(town_establishments[[#This Row],[Regional Planning Commission]],regional_establishments[Regional Planning Commission],0)))</f>
        <v>0.12286324786324786</v>
      </c>
    </row>
    <row r="33" spans="1:34" x14ac:dyDescent="0.25">
      <c r="A33" t="s">
        <v>242</v>
      </c>
      <c r="B33" t="str">
        <f>INDEX(town_population[Regional Planning Commission],MATCH(town_establishments[[#This Row],[Municipality]],town_population[Municipality],0))</f>
        <v>Two Rivers-Ottauquechee Regional Commission</v>
      </c>
      <c r="E33">
        <v>1</v>
      </c>
      <c r="F33">
        <v>1</v>
      </c>
      <c r="I33">
        <v>5</v>
      </c>
      <c r="K33">
        <v>2</v>
      </c>
      <c r="L33">
        <v>1</v>
      </c>
      <c r="O33">
        <v>1</v>
      </c>
      <c r="P33">
        <v>1</v>
      </c>
      <c r="Q33">
        <f t="shared" si="1"/>
        <v>12</v>
      </c>
      <c r="R33" s="189">
        <f t="shared" si="2"/>
        <v>0</v>
      </c>
      <c r="S33" s="189">
        <f t="shared" si="4"/>
        <v>0</v>
      </c>
      <c r="T33" s="189">
        <f t="shared" si="5"/>
        <v>8.3333333333333329E-2</v>
      </c>
      <c r="U33" s="189">
        <f t="shared" si="6"/>
        <v>8.3333333333333329E-2</v>
      </c>
      <c r="V33" s="189">
        <f t="shared" si="7"/>
        <v>0</v>
      </c>
      <c r="W33" s="189">
        <f t="shared" si="8"/>
        <v>0</v>
      </c>
      <c r="X33" s="189">
        <f t="shared" si="9"/>
        <v>0.41666666666666669</v>
      </c>
      <c r="Y33" s="189">
        <f t="shared" si="10"/>
        <v>0</v>
      </c>
      <c r="Z33" s="189">
        <f t="shared" si="11"/>
        <v>0.16666666666666666</v>
      </c>
      <c r="AA33" s="189">
        <f t="shared" si="12"/>
        <v>8.3333333333333329E-2</v>
      </c>
      <c r="AB33" s="189">
        <f t="shared" si="13"/>
        <v>0</v>
      </c>
      <c r="AC33" s="189">
        <f t="shared" si="14"/>
        <v>0</v>
      </c>
      <c r="AD33" s="189">
        <f t="shared" si="15"/>
        <v>8.3333333333333329E-2</v>
      </c>
      <c r="AE33" s="189">
        <f t="shared" si="16"/>
        <v>8.3333333333333329E-2</v>
      </c>
      <c r="AF33" s="189">
        <f t="shared" si="17"/>
        <v>6.3018590484192839E-4</v>
      </c>
      <c r="AG33" s="189">
        <f>town_establishments[[#This Row],[share of state establishments]]/($AF$250-$AF$249)</f>
        <v>6.5185507088923894E-4</v>
      </c>
      <c r="AH33" s="189">
        <f>town_establishments[[#This Row],[share of state establishments (no residual)]]/(INDEX(regional_establishments[share of state establishments],MATCH(town_establishments[[#This Row],[Regional Planning Commission]],regional_establishments[Regional Planning Commission],0)))</f>
        <v>7.4074074074074077E-3</v>
      </c>
    </row>
    <row r="34" spans="1:34" x14ac:dyDescent="0.25">
      <c r="A34" t="s">
        <v>243</v>
      </c>
      <c r="B34" t="str">
        <f>INDEX(town_population[Regional Planning Commission],MATCH(town_establishments[[#This Row],[Municipality]],town_population[Municipality],0))</f>
        <v>Windham Regional Commission</v>
      </c>
      <c r="C34">
        <v>1</v>
      </c>
      <c r="D34">
        <v>1</v>
      </c>
      <c r="E34">
        <v>1</v>
      </c>
      <c r="I34">
        <v>3</v>
      </c>
      <c r="K34">
        <v>1</v>
      </c>
      <c r="M34">
        <v>1</v>
      </c>
      <c r="N34">
        <v>1</v>
      </c>
      <c r="Q34">
        <f t="shared" si="1"/>
        <v>9</v>
      </c>
      <c r="R34" s="189">
        <f t="shared" si="2"/>
        <v>0.1111111111111111</v>
      </c>
      <c r="S34" s="189">
        <f t="shared" si="4"/>
        <v>0.1111111111111111</v>
      </c>
      <c r="T34" s="189">
        <f t="shared" si="5"/>
        <v>0.1111111111111111</v>
      </c>
      <c r="U34" s="189">
        <f t="shared" si="6"/>
        <v>0</v>
      </c>
      <c r="V34" s="189">
        <f t="shared" si="7"/>
        <v>0</v>
      </c>
      <c r="W34" s="189">
        <f t="shared" si="8"/>
        <v>0</v>
      </c>
      <c r="X34" s="189">
        <f t="shared" si="9"/>
        <v>0.33333333333333331</v>
      </c>
      <c r="Y34" s="189">
        <f t="shared" si="10"/>
        <v>0</v>
      </c>
      <c r="Z34" s="189">
        <f t="shared" si="11"/>
        <v>0.1111111111111111</v>
      </c>
      <c r="AA34" s="189">
        <f t="shared" si="12"/>
        <v>0</v>
      </c>
      <c r="AB34" s="189">
        <f t="shared" si="13"/>
        <v>0.1111111111111111</v>
      </c>
      <c r="AC34" s="189">
        <f t="shared" si="14"/>
        <v>0.1111111111111111</v>
      </c>
      <c r="AD34" s="189">
        <f t="shared" si="15"/>
        <v>0</v>
      </c>
      <c r="AE34" s="189">
        <f t="shared" si="16"/>
        <v>0</v>
      </c>
      <c r="AF34" s="189">
        <f t="shared" si="17"/>
        <v>4.7263942863144627E-4</v>
      </c>
      <c r="AG34" s="189">
        <f>town_establishments[[#This Row],[share of state establishments]]/($AF$250-$AF$249)</f>
        <v>4.8889130316692926E-4</v>
      </c>
      <c r="AH34" s="189">
        <f>town_establishments[[#This Row],[share of state establishments (no residual)]]/(INDEX(regional_establishments[share of state establishments],MATCH(town_establishments[[#This Row],[Regional Planning Commission]],regional_establishments[Regional Planning Commission],0)))</f>
        <v>5.7952350289761758E-3</v>
      </c>
    </row>
    <row r="35" spans="1:34" x14ac:dyDescent="0.25">
      <c r="A35" t="s">
        <v>244</v>
      </c>
      <c r="B35" t="str">
        <f>INDEX(town_population[Regional Planning Commission],MATCH(town_establishments[[#This Row],[Municipality]],town_population[Municipality],0))</f>
        <v>Northeastern Vermont Development Association</v>
      </c>
      <c r="C35">
        <v>1</v>
      </c>
      <c r="D35">
        <v>1</v>
      </c>
      <c r="I35">
        <v>2</v>
      </c>
      <c r="K35">
        <v>1</v>
      </c>
      <c r="L35">
        <v>1</v>
      </c>
      <c r="N35">
        <v>1</v>
      </c>
      <c r="O35">
        <v>1</v>
      </c>
      <c r="P35">
        <v>1</v>
      </c>
      <c r="Q35">
        <f t="shared" si="1"/>
        <v>9</v>
      </c>
      <c r="R35" s="189">
        <f t="shared" si="2"/>
        <v>0.1111111111111111</v>
      </c>
      <c r="S35" s="189">
        <f t="shared" si="4"/>
        <v>0.1111111111111111</v>
      </c>
      <c r="T35" s="189">
        <f t="shared" si="5"/>
        <v>0</v>
      </c>
      <c r="U35" s="189">
        <f t="shared" si="6"/>
        <v>0</v>
      </c>
      <c r="V35" s="189">
        <f t="shared" si="7"/>
        <v>0</v>
      </c>
      <c r="W35" s="189">
        <f t="shared" si="8"/>
        <v>0</v>
      </c>
      <c r="X35" s="189">
        <f t="shared" si="9"/>
        <v>0.22222222222222221</v>
      </c>
      <c r="Y35" s="189">
        <f t="shared" si="10"/>
        <v>0</v>
      </c>
      <c r="Z35" s="189">
        <f t="shared" si="11"/>
        <v>0.1111111111111111</v>
      </c>
      <c r="AA35" s="189">
        <f t="shared" si="12"/>
        <v>0.1111111111111111</v>
      </c>
      <c r="AB35" s="189">
        <f t="shared" si="13"/>
        <v>0</v>
      </c>
      <c r="AC35" s="189">
        <f t="shared" si="14"/>
        <v>0.1111111111111111</v>
      </c>
      <c r="AD35" s="189">
        <f t="shared" si="15"/>
        <v>0.1111111111111111</v>
      </c>
      <c r="AE35" s="189">
        <f t="shared" si="16"/>
        <v>0.1111111111111111</v>
      </c>
      <c r="AF35" s="189">
        <f t="shared" si="17"/>
        <v>4.7263942863144627E-4</v>
      </c>
      <c r="AG35" s="189">
        <f>town_establishments[[#This Row],[share of state establishments]]/($AF$250-$AF$249)</f>
        <v>4.8889130316692926E-4</v>
      </c>
      <c r="AH35" s="189">
        <f>town_establishments[[#This Row],[share of state establishments (no residual)]]/(INDEX(regional_establishments[share of state establishments],MATCH(town_establishments[[#This Row],[Regional Planning Commission]],regional_establishments[Regional Planning Commission],0)))</f>
        <v>6.1686086360520911E-3</v>
      </c>
    </row>
    <row r="36" spans="1:34" x14ac:dyDescent="0.25">
      <c r="A36" t="s">
        <v>245</v>
      </c>
      <c r="B36" t="str">
        <f>INDEX(town_population[Regional Planning Commission],MATCH(town_establishments[[#This Row],[Municipality]],town_population[Municipality],0))</f>
        <v>Northeastern Vermont Development Association</v>
      </c>
      <c r="Q36">
        <f t="shared" si="1"/>
        <v>0</v>
      </c>
      <c r="R36" s="189">
        <f t="shared" si="2"/>
        <v>0</v>
      </c>
      <c r="S36" s="189">
        <f t="shared" si="4"/>
        <v>0</v>
      </c>
      <c r="T36" s="189">
        <f t="shared" si="5"/>
        <v>0</v>
      </c>
      <c r="U36" s="189">
        <f t="shared" si="6"/>
        <v>0</v>
      </c>
      <c r="V36" s="189">
        <f t="shared" si="7"/>
        <v>0</v>
      </c>
      <c r="W36" s="189">
        <f t="shared" si="8"/>
        <v>0</v>
      </c>
      <c r="X36" s="189">
        <f t="shared" si="9"/>
        <v>0</v>
      </c>
      <c r="Y36" s="189">
        <f t="shared" si="10"/>
        <v>0</v>
      </c>
      <c r="Z36" s="189">
        <f t="shared" si="11"/>
        <v>0</v>
      </c>
      <c r="AA36" s="189">
        <f t="shared" si="12"/>
        <v>0</v>
      </c>
      <c r="AB36" s="189">
        <f t="shared" si="13"/>
        <v>0</v>
      </c>
      <c r="AC36" s="189">
        <f t="shared" si="14"/>
        <v>0</v>
      </c>
      <c r="AD36" s="189">
        <f t="shared" si="15"/>
        <v>0</v>
      </c>
      <c r="AE36" s="189">
        <f t="shared" si="16"/>
        <v>0</v>
      </c>
      <c r="AF36" s="189">
        <f t="shared" si="17"/>
        <v>0</v>
      </c>
      <c r="AG36" s="189">
        <f>town_establishments[[#This Row],[share of state establishments]]/($AF$250-$AF$249)</f>
        <v>0</v>
      </c>
      <c r="AH36" s="189">
        <f>town_establishments[[#This Row],[share of state establishments (no residual)]]/(INDEX(regional_establishments[share of state establishments],MATCH(town_establishments[[#This Row],[Regional Planning Commission]],regional_establishments[Regional Planning Commission],0)))</f>
        <v>0</v>
      </c>
    </row>
    <row r="37" spans="1:34" x14ac:dyDescent="0.25">
      <c r="A37" t="s">
        <v>247</v>
      </c>
      <c r="B37" t="str">
        <f>INDEX(town_population[Regional Planning Commission],MATCH(town_establishments[[#This Row],[Municipality]],town_population[Municipality],0))</f>
        <v>Northeastern Vermont Development Association</v>
      </c>
      <c r="C37">
        <v>8</v>
      </c>
      <c r="D37">
        <v>7</v>
      </c>
      <c r="E37">
        <v>1</v>
      </c>
      <c r="H37">
        <v>3</v>
      </c>
      <c r="I37">
        <v>6</v>
      </c>
      <c r="K37">
        <v>4</v>
      </c>
      <c r="L37">
        <v>2</v>
      </c>
      <c r="N37">
        <v>1</v>
      </c>
      <c r="O37">
        <v>8</v>
      </c>
      <c r="P37">
        <v>5</v>
      </c>
      <c r="Q37">
        <f t="shared" si="1"/>
        <v>45</v>
      </c>
      <c r="R37" s="189">
        <f t="shared" si="2"/>
        <v>0.17777777777777778</v>
      </c>
      <c r="S37" s="189">
        <f t="shared" si="4"/>
        <v>0.15555555555555556</v>
      </c>
      <c r="T37" s="189">
        <f t="shared" si="5"/>
        <v>2.2222222222222223E-2</v>
      </c>
      <c r="U37" s="189">
        <f t="shared" si="6"/>
        <v>0</v>
      </c>
      <c r="V37" s="189">
        <f t="shared" si="7"/>
        <v>0</v>
      </c>
      <c r="W37" s="189">
        <f t="shared" si="8"/>
        <v>6.6666666666666666E-2</v>
      </c>
      <c r="X37" s="189">
        <f t="shared" si="9"/>
        <v>0.13333333333333333</v>
      </c>
      <c r="Y37" s="189">
        <f t="shared" si="10"/>
        <v>0</v>
      </c>
      <c r="Z37" s="189">
        <f t="shared" si="11"/>
        <v>8.8888888888888892E-2</v>
      </c>
      <c r="AA37" s="189">
        <f t="shared" si="12"/>
        <v>4.4444444444444446E-2</v>
      </c>
      <c r="AB37" s="189">
        <f t="shared" si="13"/>
        <v>0</v>
      </c>
      <c r="AC37" s="189">
        <f t="shared" si="14"/>
        <v>2.2222222222222223E-2</v>
      </c>
      <c r="AD37" s="189">
        <f t="shared" si="15"/>
        <v>0.17777777777777778</v>
      </c>
      <c r="AE37" s="189">
        <f t="shared" si="16"/>
        <v>0.1111111111111111</v>
      </c>
      <c r="AF37" s="189">
        <f t="shared" si="17"/>
        <v>2.3631971431572313E-3</v>
      </c>
      <c r="AG37" s="189">
        <f>town_establishments[[#This Row],[share of state establishments]]/($AF$250-$AF$249)</f>
        <v>2.4444565158346461E-3</v>
      </c>
      <c r="AH37" s="189">
        <f>town_establishments[[#This Row],[share of state establishments (no residual)]]/(INDEX(regional_establishments[share of state establishments],MATCH(town_establishments[[#This Row],[Regional Planning Commission]],regional_establishments[Regional Planning Commission],0)))</f>
        <v>3.0843043180260449E-2</v>
      </c>
    </row>
    <row r="38" spans="1:34" x14ac:dyDescent="0.25">
      <c r="A38" t="s">
        <v>248</v>
      </c>
      <c r="B38" t="str">
        <f>INDEX(town_population[Regional Planning Commission],MATCH(town_establishments[[#This Row],[Municipality]],town_population[Municipality],0))</f>
        <v>Chittenden County Regional Planning Commission</v>
      </c>
      <c r="C38">
        <v>66</v>
      </c>
      <c r="D38">
        <v>209</v>
      </c>
      <c r="E38">
        <v>23</v>
      </c>
      <c r="F38">
        <v>37</v>
      </c>
      <c r="G38">
        <v>91</v>
      </c>
      <c r="H38">
        <v>63</v>
      </c>
      <c r="I38">
        <v>343</v>
      </c>
      <c r="J38">
        <v>9</v>
      </c>
      <c r="K38">
        <v>92</v>
      </c>
      <c r="L38">
        <v>37</v>
      </c>
      <c r="M38">
        <v>141</v>
      </c>
      <c r="N38">
        <v>32</v>
      </c>
      <c r="O38">
        <v>160</v>
      </c>
      <c r="P38">
        <v>133</v>
      </c>
      <c r="Q38">
        <f t="shared" si="1"/>
        <v>1436</v>
      </c>
      <c r="R38" s="189">
        <f t="shared" si="2"/>
        <v>4.596100278551532E-2</v>
      </c>
      <c r="S38" s="189">
        <f t="shared" si="4"/>
        <v>0.14554317548746518</v>
      </c>
      <c r="T38" s="189">
        <f t="shared" si="5"/>
        <v>1.6016713091922007E-2</v>
      </c>
      <c r="U38" s="189">
        <f t="shared" si="6"/>
        <v>2.5766016713091922E-2</v>
      </c>
      <c r="V38" s="189">
        <f t="shared" si="7"/>
        <v>6.3370473537604458E-2</v>
      </c>
      <c r="W38" s="189">
        <f t="shared" si="8"/>
        <v>4.3871866295264621E-2</v>
      </c>
      <c r="X38" s="189">
        <f t="shared" si="9"/>
        <v>0.23885793871866295</v>
      </c>
      <c r="Y38" s="189">
        <f t="shared" si="10"/>
        <v>6.267409470752089E-3</v>
      </c>
      <c r="Z38" s="189">
        <f t="shared" si="11"/>
        <v>6.4066852367688026E-2</v>
      </c>
      <c r="AA38" s="189">
        <f t="shared" si="12"/>
        <v>2.5766016713091922E-2</v>
      </c>
      <c r="AB38" s="189">
        <f t="shared" si="13"/>
        <v>9.8189415041782732E-2</v>
      </c>
      <c r="AC38" s="189">
        <f t="shared" si="14"/>
        <v>2.2284122562674095E-2</v>
      </c>
      <c r="AD38" s="189">
        <f t="shared" si="15"/>
        <v>0.11142061281337047</v>
      </c>
      <c r="AE38" s="189">
        <f t="shared" si="16"/>
        <v>9.2618384401114209E-2</v>
      </c>
      <c r="AF38" s="189">
        <f>Q38/Q$250</f>
        <v>7.5412246612750755E-2</v>
      </c>
      <c r="AG38" s="189">
        <f>town_establishments[[#This Row],[share of state establishments]]/($AF$250-$AF$249)</f>
        <v>7.8005323483078925E-2</v>
      </c>
      <c r="AH38" s="189">
        <f>town_establishments[[#This Row],[share of state establishments (no residual)]]/(INDEX(regional_establishments[share of state establishments],MATCH(town_establishments[[#This Row],[Regional Planning Commission]],regional_establishments[Regional Planning Commission],0)))</f>
        <v>0.26499354124377195</v>
      </c>
    </row>
    <row r="39" spans="1:34" x14ac:dyDescent="0.25">
      <c r="A39" t="s">
        <v>249</v>
      </c>
      <c r="B39" t="str">
        <f>INDEX(town_population[Regional Planning Commission],MATCH(town_establishments[[#This Row],[Municipality]],town_population[Municipality],0))</f>
        <v>Central Vermont Regional Planning Commission</v>
      </c>
      <c r="C39">
        <v>2</v>
      </c>
      <c r="D39">
        <v>2</v>
      </c>
      <c r="E39">
        <v>1</v>
      </c>
      <c r="G39">
        <v>1</v>
      </c>
      <c r="I39">
        <v>4</v>
      </c>
      <c r="L39">
        <v>1</v>
      </c>
      <c r="M39">
        <v>2</v>
      </c>
      <c r="O39">
        <v>1</v>
      </c>
      <c r="P39">
        <v>4</v>
      </c>
      <c r="Q39">
        <f t="shared" si="1"/>
        <v>18</v>
      </c>
      <c r="R39" s="189">
        <f t="shared" si="2"/>
        <v>0.1111111111111111</v>
      </c>
      <c r="S39" s="189">
        <f t="shared" si="4"/>
        <v>0.1111111111111111</v>
      </c>
      <c r="T39" s="189">
        <f t="shared" si="5"/>
        <v>5.5555555555555552E-2</v>
      </c>
      <c r="U39" s="189">
        <f t="shared" si="6"/>
        <v>0</v>
      </c>
      <c r="V39" s="189">
        <f t="shared" si="7"/>
        <v>5.5555555555555552E-2</v>
      </c>
      <c r="W39" s="189">
        <f t="shared" si="8"/>
        <v>0</v>
      </c>
      <c r="X39" s="189">
        <f t="shared" si="9"/>
        <v>0.22222222222222221</v>
      </c>
      <c r="Y39" s="189">
        <f t="shared" si="10"/>
        <v>0</v>
      </c>
      <c r="Z39" s="189">
        <f t="shared" si="11"/>
        <v>0</v>
      </c>
      <c r="AA39" s="189">
        <f t="shared" si="12"/>
        <v>5.5555555555555552E-2</v>
      </c>
      <c r="AB39" s="189">
        <f t="shared" si="13"/>
        <v>0.1111111111111111</v>
      </c>
      <c r="AC39" s="189">
        <f t="shared" si="14"/>
        <v>0</v>
      </c>
      <c r="AD39" s="189">
        <f t="shared" si="15"/>
        <v>5.5555555555555552E-2</v>
      </c>
      <c r="AE39" s="189">
        <f t="shared" si="16"/>
        <v>0.22222222222222221</v>
      </c>
      <c r="AF39" s="189">
        <f t="shared" si="17"/>
        <v>9.4527885726289253E-4</v>
      </c>
      <c r="AG39" s="189">
        <f>town_establishments[[#This Row],[share of state establishments]]/($AF$250-$AF$249)</f>
        <v>9.7778260633385851E-4</v>
      </c>
      <c r="AH39" s="189">
        <f>town_establishments[[#This Row],[share of state establishments (no residual)]]/(INDEX(regional_establishments[share of state establishments],MATCH(town_establishments[[#This Row],[Regional Planning Commission]],regional_establishments[Regional Planning Commission],0)))</f>
        <v>8.8713652045342532E-3</v>
      </c>
    </row>
    <row r="40" spans="1:34" x14ac:dyDescent="0.25">
      <c r="A40" t="s">
        <v>250</v>
      </c>
      <c r="B40" t="str">
        <f>INDEX(town_population[Regional Planning Commission],MATCH(town_establishments[[#This Row],[Municipality]],town_population[Municipality],0))</f>
        <v>Central Vermont Regional Planning Commission</v>
      </c>
      <c r="D40">
        <v>3</v>
      </c>
      <c r="E40">
        <v>2</v>
      </c>
      <c r="I40">
        <v>2</v>
      </c>
      <c r="J40">
        <v>1</v>
      </c>
      <c r="K40">
        <v>2</v>
      </c>
      <c r="L40">
        <v>3</v>
      </c>
      <c r="M40">
        <v>1</v>
      </c>
      <c r="N40">
        <v>2</v>
      </c>
      <c r="O40">
        <v>1</v>
      </c>
      <c r="P40">
        <v>3</v>
      </c>
      <c r="Q40">
        <f t="shared" si="1"/>
        <v>20</v>
      </c>
      <c r="R40" s="189">
        <f t="shared" si="2"/>
        <v>0</v>
      </c>
      <c r="S40" s="189">
        <f t="shared" si="4"/>
        <v>0.15</v>
      </c>
      <c r="T40" s="189">
        <f t="shared" si="5"/>
        <v>0.1</v>
      </c>
      <c r="U40" s="189">
        <f t="shared" si="6"/>
        <v>0</v>
      </c>
      <c r="V40" s="189">
        <f t="shared" si="7"/>
        <v>0</v>
      </c>
      <c r="W40" s="189">
        <f t="shared" si="8"/>
        <v>0</v>
      </c>
      <c r="X40" s="189">
        <f t="shared" si="9"/>
        <v>0.1</v>
      </c>
      <c r="Y40" s="189">
        <f t="shared" si="10"/>
        <v>0.05</v>
      </c>
      <c r="Z40" s="189">
        <f t="shared" si="11"/>
        <v>0.1</v>
      </c>
      <c r="AA40" s="189">
        <f t="shared" si="12"/>
        <v>0.15</v>
      </c>
      <c r="AB40" s="189">
        <f t="shared" si="13"/>
        <v>0.05</v>
      </c>
      <c r="AC40" s="189">
        <f t="shared" si="14"/>
        <v>0.1</v>
      </c>
      <c r="AD40" s="189">
        <f t="shared" si="15"/>
        <v>0.05</v>
      </c>
      <c r="AE40" s="189">
        <f t="shared" si="16"/>
        <v>0.15</v>
      </c>
      <c r="AF40" s="189">
        <f t="shared" si="17"/>
        <v>1.050309841403214E-3</v>
      </c>
      <c r="AG40" s="189">
        <f>town_establishments[[#This Row],[share of state establishments]]/($AF$250-$AF$249)</f>
        <v>1.0864251181487315E-3</v>
      </c>
      <c r="AH40" s="189">
        <f>town_establishments[[#This Row],[share of state establishments (no residual)]]/(INDEX(regional_establishments[share of state establishments],MATCH(town_establishments[[#This Row],[Regional Planning Commission]],regional_establishments[Regional Planning Commission],0)))</f>
        <v>9.857072449482503E-3</v>
      </c>
    </row>
    <row r="41" spans="1:34" x14ac:dyDescent="0.25">
      <c r="A41" t="s">
        <v>251</v>
      </c>
      <c r="B41" t="str">
        <f>INDEX(town_population[Regional Planning Commission],MATCH(town_establishments[[#This Row],[Municipality]],town_population[Municipality],0))</f>
        <v>Lamoille County Planning Commission</v>
      </c>
      <c r="C41">
        <v>7</v>
      </c>
      <c r="D41">
        <v>14</v>
      </c>
      <c r="E41">
        <v>2</v>
      </c>
      <c r="F41">
        <v>1</v>
      </c>
      <c r="G41">
        <v>3</v>
      </c>
      <c r="H41">
        <v>1</v>
      </c>
      <c r="I41">
        <v>14</v>
      </c>
      <c r="K41">
        <v>12</v>
      </c>
      <c r="L41">
        <v>1</v>
      </c>
      <c r="M41">
        <v>8</v>
      </c>
      <c r="N41">
        <v>5</v>
      </c>
      <c r="O41">
        <v>14</v>
      </c>
      <c r="P41">
        <v>13</v>
      </c>
      <c r="Q41">
        <f t="shared" si="1"/>
        <v>95</v>
      </c>
      <c r="R41" s="189">
        <f t="shared" si="2"/>
        <v>7.3684210526315783E-2</v>
      </c>
      <c r="S41" s="189">
        <f t="shared" si="4"/>
        <v>0.14736842105263157</v>
      </c>
      <c r="T41" s="189">
        <f t="shared" si="5"/>
        <v>2.1052631578947368E-2</v>
      </c>
      <c r="U41" s="189">
        <f t="shared" si="6"/>
        <v>1.0526315789473684E-2</v>
      </c>
      <c r="V41" s="189">
        <f t="shared" si="7"/>
        <v>3.1578947368421054E-2</v>
      </c>
      <c r="W41" s="189">
        <f t="shared" si="8"/>
        <v>1.0526315789473684E-2</v>
      </c>
      <c r="X41" s="189">
        <f t="shared" si="9"/>
        <v>0.14736842105263157</v>
      </c>
      <c r="Y41" s="189">
        <f t="shared" si="10"/>
        <v>0</v>
      </c>
      <c r="Z41" s="189">
        <f t="shared" si="11"/>
        <v>0.12631578947368421</v>
      </c>
      <c r="AA41" s="189">
        <f t="shared" si="12"/>
        <v>1.0526315789473684E-2</v>
      </c>
      <c r="AB41" s="189">
        <f t="shared" si="13"/>
        <v>8.4210526315789472E-2</v>
      </c>
      <c r="AC41" s="189">
        <f t="shared" si="14"/>
        <v>5.2631578947368418E-2</v>
      </c>
      <c r="AD41" s="189">
        <f t="shared" si="15"/>
        <v>0.14736842105263157</v>
      </c>
      <c r="AE41" s="189">
        <f t="shared" si="16"/>
        <v>0.1368421052631579</v>
      </c>
      <c r="AF41" s="189">
        <f t="shared" si="17"/>
        <v>4.9889717466652661E-3</v>
      </c>
      <c r="AG41" s="189">
        <f>town_establishments[[#This Row],[share of state establishments]]/($AF$250-$AF$249)</f>
        <v>5.1605193112064752E-3</v>
      </c>
      <c r="AH41" s="189">
        <f>town_establishments[[#This Row],[share of state establishments (no residual)]]/(INDEX(regional_establishments[share of state establishments],MATCH(town_establishments[[#This Row],[Regional Planning Commission]],regional_establishments[Regional Planning Commission],0)))</f>
        <v>0.11642156862745097</v>
      </c>
    </row>
    <row r="42" spans="1:34" x14ac:dyDescent="0.25">
      <c r="A42" t="s">
        <v>252</v>
      </c>
      <c r="B42" t="str">
        <f>INDEX(town_population[Regional Planning Commission],MATCH(town_establishments[[#This Row],[Municipality]],town_population[Municipality],0))</f>
        <v>Northeastern Vermont Development Association</v>
      </c>
      <c r="D42">
        <v>0</v>
      </c>
      <c r="E42">
        <v>1</v>
      </c>
      <c r="G42">
        <v>1</v>
      </c>
      <c r="I42">
        <v>1</v>
      </c>
      <c r="K42">
        <v>2</v>
      </c>
      <c r="L42">
        <v>1</v>
      </c>
      <c r="M42">
        <v>2</v>
      </c>
      <c r="N42">
        <v>2</v>
      </c>
      <c r="O42">
        <v>2</v>
      </c>
      <c r="P42">
        <v>2</v>
      </c>
      <c r="Q42">
        <f t="shared" si="1"/>
        <v>14</v>
      </c>
      <c r="R42" s="189">
        <f t="shared" si="2"/>
        <v>0</v>
      </c>
      <c r="S42" s="189">
        <f t="shared" si="4"/>
        <v>0</v>
      </c>
      <c r="T42" s="189">
        <f t="shared" si="5"/>
        <v>7.1428571428571425E-2</v>
      </c>
      <c r="U42" s="189">
        <f t="shared" si="6"/>
        <v>0</v>
      </c>
      <c r="V42" s="189">
        <f t="shared" si="7"/>
        <v>7.1428571428571425E-2</v>
      </c>
      <c r="W42" s="189">
        <f t="shared" si="8"/>
        <v>0</v>
      </c>
      <c r="X42" s="189">
        <f t="shared" si="9"/>
        <v>7.1428571428571425E-2</v>
      </c>
      <c r="Y42" s="189">
        <f t="shared" si="10"/>
        <v>0</v>
      </c>
      <c r="Z42" s="189">
        <f t="shared" si="11"/>
        <v>0.14285714285714285</v>
      </c>
      <c r="AA42" s="189">
        <f t="shared" si="12"/>
        <v>7.1428571428571425E-2</v>
      </c>
      <c r="AB42" s="189">
        <f t="shared" si="13"/>
        <v>0.14285714285714285</v>
      </c>
      <c r="AC42" s="189">
        <f t="shared" si="14"/>
        <v>0.14285714285714285</v>
      </c>
      <c r="AD42" s="189">
        <f t="shared" si="15"/>
        <v>0.14285714285714285</v>
      </c>
      <c r="AE42" s="189">
        <f t="shared" si="16"/>
        <v>0.14285714285714285</v>
      </c>
      <c r="AF42" s="189">
        <f t="shared" si="17"/>
        <v>7.3521688898224981E-4</v>
      </c>
      <c r="AG42" s="189">
        <f>town_establishments[[#This Row],[share of state establishments]]/($AF$250-$AF$249)</f>
        <v>7.6049758270411213E-4</v>
      </c>
      <c r="AH42" s="189">
        <f>town_establishments[[#This Row],[share of state establishments (no residual)]]/(INDEX(regional_establishments[share of state establishments],MATCH(town_establishments[[#This Row],[Regional Planning Commission]],regional_establishments[Regional Planning Commission],0)))</f>
        <v>9.5956134338588076E-3</v>
      </c>
    </row>
    <row r="43" spans="1:34" x14ac:dyDescent="0.25">
      <c r="A43" t="s">
        <v>253</v>
      </c>
      <c r="B43" t="str">
        <f>INDEX(town_population[Regional Planning Commission],MATCH(town_establishments[[#This Row],[Municipality]],town_population[Municipality],0))</f>
        <v>Rutland Regional Planning Commission</v>
      </c>
      <c r="C43">
        <v>6</v>
      </c>
      <c r="D43">
        <v>20</v>
      </c>
      <c r="E43">
        <v>1</v>
      </c>
      <c r="F43">
        <v>2</v>
      </c>
      <c r="G43">
        <v>5</v>
      </c>
      <c r="H43">
        <v>3</v>
      </c>
      <c r="I43">
        <v>9</v>
      </c>
      <c r="J43">
        <v>1</v>
      </c>
      <c r="K43">
        <v>10</v>
      </c>
      <c r="L43">
        <v>1</v>
      </c>
      <c r="M43">
        <v>11</v>
      </c>
      <c r="N43">
        <v>2</v>
      </c>
      <c r="O43">
        <v>15</v>
      </c>
      <c r="P43">
        <v>15</v>
      </c>
      <c r="Q43">
        <f t="shared" si="1"/>
        <v>101</v>
      </c>
      <c r="R43" s="189">
        <f t="shared" si="2"/>
        <v>5.9405940594059403E-2</v>
      </c>
      <c r="S43" s="189">
        <f t="shared" si="4"/>
        <v>0.19801980198019803</v>
      </c>
      <c r="T43" s="189">
        <f t="shared" si="5"/>
        <v>9.9009900990099011E-3</v>
      </c>
      <c r="U43" s="189">
        <f t="shared" si="6"/>
        <v>1.9801980198019802E-2</v>
      </c>
      <c r="V43" s="189">
        <f t="shared" si="7"/>
        <v>4.9504950495049507E-2</v>
      </c>
      <c r="W43" s="189">
        <f t="shared" si="8"/>
        <v>2.9702970297029702E-2</v>
      </c>
      <c r="X43" s="189">
        <f t="shared" si="9"/>
        <v>8.9108910891089105E-2</v>
      </c>
      <c r="Y43" s="189">
        <f t="shared" si="10"/>
        <v>9.9009900990099011E-3</v>
      </c>
      <c r="Z43" s="189">
        <f t="shared" si="11"/>
        <v>9.9009900990099015E-2</v>
      </c>
      <c r="AA43" s="189">
        <f t="shared" si="12"/>
        <v>9.9009900990099011E-3</v>
      </c>
      <c r="AB43" s="189">
        <f t="shared" si="13"/>
        <v>0.10891089108910891</v>
      </c>
      <c r="AC43" s="189">
        <f t="shared" si="14"/>
        <v>1.9801980198019802E-2</v>
      </c>
      <c r="AD43" s="189">
        <f t="shared" si="15"/>
        <v>0.14851485148514851</v>
      </c>
      <c r="AE43" s="189">
        <f t="shared" si="16"/>
        <v>0.14851485148514851</v>
      </c>
      <c r="AF43" s="189">
        <f t="shared" si="17"/>
        <v>5.3040646990862306E-3</v>
      </c>
      <c r="AG43" s="189">
        <f>town_establishments[[#This Row],[share of state establishments]]/($AF$250-$AF$249)</f>
        <v>5.4864468466510946E-3</v>
      </c>
      <c r="AH43" s="189">
        <f>town_establishments[[#This Row],[share of state establishments (no residual)]]/(INDEX(regional_establishments[share of state establishments],MATCH(town_establishments[[#This Row],[Regional Planning Commission]],regional_establishments[Regional Planning Commission],0)))</f>
        <v>5.6805399325084362E-2</v>
      </c>
    </row>
    <row r="44" spans="1:34" x14ac:dyDescent="0.25">
      <c r="A44" t="s">
        <v>254</v>
      </c>
      <c r="B44" t="str">
        <f>INDEX(town_population[Regional Planning Commission],MATCH(town_establishments[[#This Row],[Municipality]],town_population[Municipality],0))</f>
        <v>Southern Windsor County Regional Planning Commission</v>
      </c>
      <c r="C44">
        <v>2</v>
      </c>
      <c r="D44">
        <v>1</v>
      </c>
      <c r="E44">
        <v>1</v>
      </c>
      <c r="H44">
        <v>3</v>
      </c>
      <c r="I44">
        <v>2</v>
      </c>
      <c r="K44">
        <v>6</v>
      </c>
      <c r="L44">
        <v>1</v>
      </c>
      <c r="M44">
        <v>4</v>
      </c>
      <c r="N44">
        <v>1</v>
      </c>
      <c r="O44">
        <v>2</v>
      </c>
      <c r="P44">
        <v>4</v>
      </c>
      <c r="Q44">
        <f t="shared" si="1"/>
        <v>27</v>
      </c>
      <c r="R44" s="189">
        <f t="shared" si="2"/>
        <v>7.407407407407407E-2</v>
      </c>
      <c r="S44" s="189">
        <f t="shared" si="4"/>
        <v>3.7037037037037035E-2</v>
      </c>
      <c r="T44" s="189">
        <f t="shared" si="5"/>
        <v>3.7037037037037035E-2</v>
      </c>
      <c r="U44" s="189">
        <f t="shared" si="6"/>
        <v>0</v>
      </c>
      <c r="V44" s="189">
        <f t="shared" si="7"/>
        <v>0</v>
      </c>
      <c r="W44" s="189">
        <f t="shared" si="8"/>
        <v>0.1111111111111111</v>
      </c>
      <c r="X44" s="189">
        <f t="shared" si="9"/>
        <v>7.407407407407407E-2</v>
      </c>
      <c r="Y44" s="189">
        <f t="shared" si="10"/>
        <v>0</v>
      </c>
      <c r="Z44" s="189">
        <f t="shared" si="11"/>
        <v>0.22222222222222221</v>
      </c>
      <c r="AA44" s="189">
        <f t="shared" si="12"/>
        <v>3.7037037037037035E-2</v>
      </c>
      <c r="AB44" s="189">
        <f t="shared" si="13"/>
        <v>0.14814814814814814</v>
      </c>
      <c r="AC44" s="189">
        <f t="shared" si="14"/>
        <v>3.7037037037037035E-2</v>
      </c>
      <c r="AD44" s="189">
        <f t="shared" si="15"/>
        <v>7.407407407407407E-2</v>
      </c>
      <c r="AE44" s="189">
        <f t="shared" si="16"/>
        <v>0.14814814814814814</v>
      </c>
      <c r="AF44" s="189">
        <f t="shared" si="17"/>
        <v>1.4179182858943388E-3</v>
      </c>
      <c r="AG44" s="189">
        <f>town_establishments[[#This Row],[share of state establishments]]/($AF$250-$AF$249)</f>
        <v>1.4666739095007876E-3</v>
      </c>
      <c r="AH44" s="189">
        <f>town_establishments[[#This Row],[share of state establishments (no residual)]]/(INDEX(regional_establishments[share of state establishments],MATCH(town_establishments[[#This Row],[Regional Planning Commission]],regional_establishments[Regional Planning Commission],0)))</f>
        <v>4.2857142857142864E-2</v>
      </c>
    </row>
    <row r="45" spans="1:34" x14ac:dyDescent="0.25">
      <c r="A45" t="s">
        <v>255</v>
      </c>
      <c r="B45" t="str">
        <f>INDEX(town_population[Regional Planning Commission],MATCH(town_establishments[[#This Row],[Municipality]],town_population[Municipality],0))</f>
        <v>Northeastern Vermont Development Association</v>
      </c>
      <c r="C45">
        <v>1</v>
      </c>
      <c r="D45">
        <v>1</v>
      </c>
      <c r="E45">
        <v>2</v>
      </c>
      <c r="F45">
        <v>1</v>
      </c>
      <c r="H45">
        <v>2</v>
      </c>
      <c r="K45">
        <v>2</v>
      </c>
      <c r="L45">
        <v>1</v>
      </c>
      <c r="P45">
        <v>3</v>
      </c>
      <c r="Q45">
        <f t="shared" si="1"/>
        <v>13</v>
      </c>
      <c r="R45" s="189">
        <f t="shared" si="2"/>
        <v>7.6923076923076927E-2</v>
      </c>
      <c r="S45" s="189">
        <f t="shared" si="4"/>
        <v>7.6923076923076927E-2</v>
      </c>
      <c r="T45" s="189">
        <f t="shared" si="5"/>
        <v>0.15384615384615385</v>
      </c>
      <c r="U45" s="189">
        <f t="shared" si="6"/>
        <v>7.6923076923076927E-2</v>
      </c>
      <c r="V45" s="189">
        <f t="shared" si="7"/>
        <v>0</v>
      </c>
      <c r="W45" s="189">
        <f t="shared" si="8"/>
        <v>0.15384615384615385</v>
      </c>
      <c r="X45" s="189">
        <f t="shared" si="9"/>
        <v>0</v>
      </c>
      <c r="Y45" s="189">
        <f t="shared" si="10"/>
        <v>0</v>
      </c>
      <c r="Z45" s="189">
        <f t="shared" si="11"/>
        <v>0.15384615384615385</v>
      </c>
      <c r="AA45" s="189">
        <f t="shared" si="12"/>
        <v>7.6923076923076927E-2</v>
      </c>
      <c r="AB45" s="189">
        <f t="shared" si="13"/>
        <v>0</v>
      </c>
      <c r="AC45" s="189">
        <f t="shared" si="14"/>
        <v>0</v>
      </c>
      <c r="AD45" s="189">
        <f t="shared" si="15"/>
        <v>0</v>
      </c>
      <c r="AE45" s="189">
        <f t="shared" si="16"/>
        <v>0.23076923076923078</v>
      </c>
      <c r="AF45" s="189">
        <f t="shared" si="17"/>
        <v>6.827013969120891E-4</v>
      </c>
      <c r="AG45" s="189">
        <f>town_establishments[[#This Row],[share of state establishments]]/($AF$250-$AF$249)</f>
        <v>7.0617632679667553E-4</v>
      </c>
      <c r="AH45" s="189">
        <f>town_establishments[[#This Row],[share of state establishments (no residual)]]/(INDEX(regional_establishments[share of state establishments],MATCH(town_establishments[[#This Row],[Regional Planning Commission]],regional_establishments[Regional Planning Commission],0)))</f>
        <v>8.9102124742974631E-3</v>
      </c>
    </row>
    <row r="46" spans="1:34" x14ac:dyDescent="0.25">
      <c r="A46" t="s">
        <v>256</v>
      </c>
      <c r="B46" t="str">
        <f>INDEX(town_population[Regional Planning Commission],MATCH(town_establishments[[#This Row],[Municipality]],town_population[Municipality],0))</f>
        <v>Chittenden County Regional Planning Commission</v>
      </c>
      <c r="C46">
        <v>10</v>
      </c>
      <c r="D46">
        <v>9</v>
      </c>
      <c r="E46">
        <v>1</v>
      </c>
      <c r="F46">
        <v>6</v>
      </c>
      <c r="G46">
        <v>2</v>
      </c>
      <c r="H46">
        <v>2</v>
      </c>
      <c r="I46">
        <v>33</v>
      </c>
      <c r="K46">
        <v>12</v>
      </c>
      <c r="L46">
        <v>5</v>
      </c>
      <c r="M46">
        <v>3</v>
      </c>
      <c r="N46">
        <v>4</v>
      </c>
      <c r="O46">
        <v>3</v>
      </c>
      <c r="P46">
        <v>18</v>
      </c>
      <c r="Q46">
        <f t="shared" si="1"/>
        <v>108</v>
      </c>
      <c r="R46" s="189">
        <f t="shared" si="2"/>
        <v>9.2592592592592587E-2</v>
      </c>
      <c r="S46" s="189">
        <f t="shared" si="4"/>
        <v>8.3333333333333329E-2</v>
      </c>
      <c r="T46" s="189">
        <f t="shared" si="5"/>
        <v>9.2592592592592587E-3</v>
      </c>
      <c r="U46" s="189">
        <f t="shared" si="6"/>
        <v>5.5555555555555552E-2</v>
      </c>
      <c r="V46" s="189">
        <f t="shared" si="7"/>
        <v>1.8518518518518517E-2</v>
      </c>
      <c r="W46" s="189">
        <f t="shared" si="8"/>
        <v>1.8518518518518517E-2</v>
      </c>
      <c r="X46" s="189">
        <f t="shared" si="9"/>
        <v>0.30555555555555558</v>
      </c>
      <c r="Y46" s="189">
        <f t="shared" si="10"/>
        <v>0</v>
      </c>
      <c r="Z46" s="189">
        <f t="shared" si="11"/>
        <v>0.1111111111111111</v>
      </c>
      <c r="AA46" s="189">
        <f t="shared" si="12"/>
        <v>4.6296296296296294E-2</v>
      </c>
      <c r="AB46" s="189">
        <f t="shared" si="13"/>
        <v>2.7777777777777776E-2</v>
      </c>
      <c r="AC46" s="189">
        <f t="shared" si="14"/>
        <v>3.7037037037037035E-2</v>
      </c>
      <c r="AD46" s="189">
        <f t="shared" si="15"/>
        <v>2.7777777777777776E-2</v>
      </c>
      <c r="AE46" s="189">
        <f t="shared" si="16"/>
        <v>0.16666666666666666</v>
      </c>
      <c r="AF46" s="189">
        <f t="shared" si="17"/>
        <v>5.6716731435773552E-3</v>
      </c>
      <c r="AG46" s="189">
        <f>town_establishments[[#This Row],[share of state establishments]]/($AF$250-$AF$249)</f>
        <v>5.8666956380031502E-3</v>
      </c>
      <c r="AH46" s="189">
        <f>town_establishments[[#This Row],[share of state establishments (no residual)]]/(INDEX(regional_establishments[share of state establishments],MATCH(town_establishments[[#This Row],[Regional Planning Commission]],regional_establishments[Regional Planning Commission],0)))</f>
        <v>1.9929876360952208E-2</v>
      </c>
    </row>
    <row r="47" spans="1:34" x14ac:dyDescent="0.25">
      <c r="A47" t="s">
        <v>257</v>
      </c>
      <c r="B47" t="str">
        <f>INDEX(town_population[Regional Planning Commission],MATCH(town_establishments[[#This Row],[Municipality]],town_population[Municipality],0))</f>
        <v>Two Rivers-Ottauquechee Regional Commission</v>
      </c>
      <c r="D47">
        <v>4</v>
      </c>
      <c r="E47">
        <v>1</v>
      </c>
      <c r="G47">
        <v>2</v>
      </c>
      <c r="I47">
        <v>7</v>
      </c>
      <c r="L47">
        <v>1</v>
      </c>
      <c r="M47">
        <v>9</v>
      </c>
      <c r="O47">
        <v>2</v>
      </c>
      <c r="P47">
        <v>5</v>
      </c>
      <c r="Q47">
        <f t="shared" si="1"/>
        <v>31</v>
      </c>
      <c r="R47" s="189">
        <f t="shared" si="2"/>
        <v>0</v>
      </c>
      <c r="S47" s="189">
        <f t="shared" si="4"/>
        <v>0.12903225806451613</v>
      </c>
      <c r="T47" s="189">
        <f t="shared" si="5"/>
        <v>3.2258064516129031E-2</v>
      </c>
      <c r="U47" s="189">
        <f t="shared" si="6"/>
        <v>0</v>
      </c>
      <c r="V47" s="189">
        <f t="shared" si="7"/>
        <v>6.4516129032258063E-2</v>
      </c>
      <c r="W47" s="189">
        <f t="shared" si="8"/>
        <v>0</v>
      </c>
      <c r="X47" s="189">
        <f t="shared" si="9"/>
        <v>0.22580645161290322</v>
      </c>
      <c r="Y47" s="189">
        <f t="shared" si="10"/>
        <v>0</v>
      </c>
      <c r="Z47" s="189">
        <f t="shared" si="11"/>
        <v>0</v>
      </c>
      <c r="AA47" s="189">
        <f t="shared" si="12"/>
        <v>3.2258064516129031E-2</v>
      </c>
      <c r="AB47" s="189">
        <f t="shared" si="13"/>
        <v>0.29032258064516131</v>
      </c>
      <c r="AC47" s="189">
        <f t="shared" si="14"/>
        <v>0</v>
      </c>
      <c r="AD47" s="189">
        <f t="shared" si="15"/>
        <v>6.4516129032258063E-2</v>
      </c>
      <c r="AE47" s="189">
        <f t="shared" si="16"/>
        <v>0.16129032258064516</v>
      </c>
      <c r="AF47" s="189">
        <f t="shared" si="17"/>
        <v>1.6279802541749816E-3</v>
      </c>
      <c r="AG47" s="189">
        <f>town_establishments[[#This Row],[share of state establishments]]/($AF$250-$AF$249)</f>
        <v>1.6839589331305339E-3</v>
      </c>
      <c r="AH47" s="189">
        <f>town_establishments[[#This Row],[share of state establishments (no residual)]]/(INDEX(regional_establishments[share of state establishments],MATCH(town_establishments[[#This Row],[Regional Planning Commission]],regional_establishments[Regional Planning Commission],0)))</f>
        <v>1.9135802469135803E-2</v>
      </c>
    </row>
    <row r="48" spans="1:34" x14ac:dyDescent="0.25">
      <c r="A48" t="s">
        <v>258</v>
      </c>
      <c r="B48" t="str">
        <f>INDEX(town_population[Regional Planning Commission],MATCH(town_establishments[[#This Row],[Municipality]],town_population[Municipality],0))</f>
        <v>Southern Windsor County Regional Planning Commission</v>
      </c>
      <c r="C48">
        <v>1</v>
      </c>
      <c r="D48">
        <v>15</v>
      </c>
      <c r="E48">
        <v>4</v>
      </c>
      <c r="F48">
        <v>1</v>
      </c>
      <c r="G48">
        <v>7</v>
      </c>
      <c r="H48">
        <v>4</v>
      </c>
      <c r="I48">
        <v>13</v>
      </c>
      <c r="J48">
        <v>2</v>
      </c>
      <c r="K48">
        <v>10</v>
      </c>
      <c r="L48">
        <v>2</v>
      </c>
      <c r="M48">
        <v>5</v>
      </c>
      <c r="N48">
        <v>1</v>
      </c>
      <c r="O48">
        <v>10</v>
      </c>
      <c r="P48">
        <v>15</v>
      </c>
      <c r="Q48">
        <f t="shared" si="1"/>
        <v>90</v>
      </c>
      <c r="R48" s="189">
        <f t="shared" si="2"/>
        <v>1.1111111111111112E-2</v>
      </c>
      <c r="S48" s="189">
        <f t="shared" si="4"/>
        <v>0.16666666666666666</v>
      </c>
      <c r="T48" s="189">
        <f t="shared" si="5"/>
        <v>4.4444444444444446E-2</v>
      </c>
      <c r="U48" s="189">
        <f t="shared" si="6"/>
        <v>1.1111111111111112E-2</v>
      </c>
      <c r="V48" s="189">
        <f t="shared" si="7"/>
        <v>7.7777777777777779E-2</v>
      </c>
      <c r="W48" s="189">
        <f t="shared" si="8"/>
        <v>4.4444444444444446E-2</v>
      </c>
      <c r="X48" s="189">
        <f t="shared" si="9"/>
        <v>0.14444444444444443</v>
      </c>
      <c r="Y48" s="189">
        <f t="shared" si="10"/>
        <v>2.2222222222222223E-2</v>
      </c>
      <c r="Z48" s="189">
        <f t="shared" si="11"/>
        <v>0.1111111111111111</v>
      </c>
      <c r="AA48" s="189">
        <f t="shared" si="12"/>
        <v>2.2222222222222223E-2</v>
      </c>
      <c r="AB48" s="189">
        <f t="shared" si="13"/>
        <v>5.5555555555555552E-2</v>
      </c>
      <c r="AC48" s="189">
        <f t="shared" si="14"/>
        <v>1.1111111111111112E-2</v>
      </c>
      <c r="AD48" s="189">
        <f t="shared" si="15"/>
        <v>0.1111111111111111</v>
      </c>
      <c r="AE48" s="189">
        <f t="shared" si="16"/>
        <v>0.16666666666666666</v>
      </c>
      <c r="AF48" s="189">
        <f t="shared" si="17"/>
        <v>4.7263942863144627E-3</v>
      </c>
      <c r="AG48" s="189">
        <f>town_establishments[[#This Row],[share of state establishments]]/($AF$250-$AF$249)</f>
        <v>4.8889130316692921E-3</v>
      </c>
      <c r="AH48" s="189">
        <f>town_establishments[[#This Row],[share of state establishments (no residual)]]/(INDEX(regional_establishments[share of state establishments],MATCH(town_establishments[[#This Row],[Regional Planning Commission]],regional_establishments[Regional Planning Commission],0)))</f>
        <v>0.1428571428571429</v>
      </c>
    </row>
    <row r="49" spans="1:34" x14ac:dyDescent="0.25">
      <c r="A49" t="s">
        <v>259</v>
      </c>
      <c r="B49" t="str">
        <f>INDEX(town_population[Regional Planning Commission],MATCH(town_establishments[[#This Row],[Municipality]],town_population[Municipality],0))</f>
        <v>Rutland Regional Planning Commission</v>
      </c>
      <c r="C49">
        <v>1</v>
      </c>
      <c r="D49">
        <v>2</v>
      </c>
      <c r="E49">
        <v>1</v>
      </c>
      <c r="F49">
        <v>1</v>
      </c>
      <c r="H49">
        <v>1</v>
      </c>
      <c r="I49">
        <v>11</v>
      </c>
      <c r="K49">
        <v>3</v>
      </c>
      <c r="L49">
        <v>1</v>
      </c>
      <c r="N49">
        <v>1</v>
      </c>
      <c r="O49">
        <v>2</v>
      </c>
      <c r="P49">
        <v>3</v>
      </c>
      <c r="Q49">
        <f t="shared" si="1"/>
        <v>27</v>
      </c>
      <c r="R49" s="189">
        <f t="shared" si="2"/>
        <v>3.7037037037037035E-2</v>
      </c>
      <c r="S49" s="189">
        <f t="shared" si="4"/>
        <v>7.407407407407407E-2</v>
      </c>
      <c r="T49" s="189">
        <f t="shared" si="5"/>
        <v>3.7037037037037035E-2</v>
      </c>
      <c r="U49" s="189">
        <f t="shared" si="6"/>
        <v>3.7037037037037035E-2</v>
      </c>
      <c r="V49" s="189">
        <f t="shared" si="7"/>
        <v>0</v>
      </c>
      <c r="W49" s="189">
        <f t="shared" si="8"/>
        <v>3.7037037037037035E-2</v>
      </c>
      <c r="X49" s="189">
        <f t="shared" si="9"/>
        <v>0.40740740740740738</v>
      </c>
      <c r="Y49" s="189">
        <f t="shared" si="10"/>
        <v>0</v>
      </c>
      <c r="Z49" s="189">
        <f t="shared" si="11"/>
        <v>0.1111111111111111</v>
      </c>
      <c r="AA49" s="189">
        <f t="shared" si="12"/>
        <v>3.7037037037037035E-2</v>
      </c>
      <c r="AB49" s="189">
        <f t="shared" si="13"/>
        <v>0</v>
      </c>
      <c r="AC49" s="189">
        <f t="shared" si="14"/>
        <v>3.7037037037037035E-2</v>
      </c>
      <c r="AD49" s="189">
        <f t="shared" si="15"/>
        <v>7.407407407407407E-2</v>
      </c>
      <c r="AE49" s="189">
        <f t="shared" si="16"/>
        <v>0.1111111111111111</v>
      </c>
      <c r="AF49" s="189">
        <f t="shared" si="17"/>
        <v>1.4179182858943388E-3</v>
      </c>
      <c r="AG49" s="189">
        <f>town_establishments[[#This Row],[share of state establishments]]/($AF$250-$AF$249)</f>
        <v>1.4666739095007876E-3</v>
      </c>
      <c r="AH49" s="189">
        <f>town_establishments[[#This Row],[share of state establishments (no residual)]]/(INDEX(regional_establishments[share of state establishments],MATCH(town_establishments[[#This Row],[Regional Planning Commission]],regional_establishments[Regional Planning Commission],0)))</f>
        <v>1.5185601799775026E-2</v>
      </c>
    </row>
    <row r="50" spans="1:34" x14ac:dyDescent="0.25">
      <c r="A50" t="s">
        <v>260</v>
      </c>
      <c r="B50" t="str">
        <f>INDEX(town_population[Regional Planning Commission],MATCH(town_establishments[[#This Row],[Municipality]],town_population[Municipality],0))</f>
        <v>Rutland Regional Planning Commission</v>
      </c>
      <c r="C50">
        <v>6</v>
      </c>
      <c r="D50">
        <v>10</v>
      </c>
      <c r="E50">
        <v>4</v>
      </c>
      <c r="F50">
        <v>1</v>
      </c>
      <c r="I50">
        <v>9</v>
      </c>
      <c r="K50">
        <v>8</v>
      </c>
      <c r="L50">
        <v>3</v>
      </c>
      <c r="M50">
        <v>2</v>
      </c>
      <c r="N50">
        <v>2</v>
      </c>
      <c r="O50">
        <v>2</v>
      </c>
      <c r="P50">
        <v>9</v>
      </c>
      <c r="Q50">
        <f t="shared" si="1"/>
        <v>56</v>
      </c>
      <c r="R50" s="189">
        <f t="shared" si="2"/>
        <v>0.10714285714285714</v>
      </c>
      <c r="S50" s="189">
        <f t="shared" si="4"/>
        <v>0.17857142857142858</v>
      </c>
      <c r="T50" s="189">
        <f t="shared" si="5"/>
        <v>7.1428571428571425E-2</v>
      </c>
      <c r="U50" s="189">
        <f t="shared" si="6"/>
        <v>1.7857142857142856E-2</v>
      </c>
      <c r="V50" s="189">
        <f t="shared" si="7"/>
        <v>0</v>
      </c>
      <c r="W50" s="189">
        <f t="shared" si="8"/>
        <v>0</v>
      </c>
      <c r="X50" s="189">
        <f t="shared" si="9"/>
        <v>0.16071428571428573</v>
      </c>
      <c r="Y50" s="189">
        <f t="shared" si="10"/>
        <v>0</v>
      </c>
      <c r="Z50" s="189">
        <f t="shared" si="11"/>
        <v>0.14285714285714285</v>
      </c>
      <c r="AA50" s="189">
        <f t="shared" si="12"/>
        <v>5.3571428571428568E-2</v>
      </c>
      <c r="AB50" s="189">
        <f t="shared" si="13"/>
        <v>3.5714285714285712E-2</v>
      </c>
      <c r="AC50" s="189">
        <f t="shared" si="14"/>
        <v>3.5714285714285712E-2</v>
      </c>
      <c r="AD50" s="189">
        <f t="shared" si="15"/>
        <v>3.5714285714285712E-2</v>
      </c>
      <c r="AE50" s="189">
        <f t="shared" si="16"/>
        <v>0.16071428571428573</v>
      </c>
      <c r="AF50" s="189">
        <f t="shared" si="17"/>
        <v>2.9408675559289992E-3</v>
      </c>
      <c r="AG50" s="189">
        <f>town_establishments[[#This Row],[share of state establishments]]/($AF$250-$AF$249)</f>
        <v>3.0419903308164485E-3</v>
      </c>
      <c r="AH50" s="189">
        <f>town_establishments[[#This Row],[share of state establishments (no residual)]]/(INDEX(regional_establishments[share of state establishments],MATCH(town_establishments[[#This Row],[Regional Planning Commission]],regional_establishments[Regional Planning Commission],0)))</f>
        <v>3.1496062992125984E-2</v>
      </c>
    </row>
    <row r="51" spans="1:34" x14ac:dyDescent="0.25">
      <c r="A51" t="s">
        <v>261</v>
      </c>
      <c r="B51" t="str">
        <f>INDEX(town_population[Regional Planning Commission],MATCH(town_establishments[[#This Row],[Municipality]],town_population[Municipality],0))</f>
        <v>Chittenden County Regional Planning Commission</v>
      </c>
      <c r="C51">
        <v>45</v>
      </c>
      <c r="D51">
        <v>50</v>
      </c>
      <c r="E51">
        <v>14</v>
      </c>
      <c r="F51">
        <v>22</v>
      </c>
      <c r="G51">
        <v>39</v>
      </c>
      <c r="H51">
        <v>34</v>
      </c>
      <c r="I51">
        <v>91</v>
      </c>
      <c r="J51">
        <v>1</v>
      </c>
      <c r="K51">
        <v>53</v>
      </c>
      <c r="L51">
        <v>12</v>
      </c>
      <c r="M51">
        <v>56</v>
      </c>
      <c r="N51">
        <v>14</v>
      </c>
      <c r="O51">
        <v>42</v>
      </c>
      <c r="P51">
        <v>37</v>
      </c>
      <c r="Q51">
        <f t="shared" si="1"/>
        <v>510</v>
      </c>
      <c r="R51" s="189">
        <f t="shared" si="2"/>
        <v>8.8235294117647065E-2</v>
      </c>
      <c r="S51" s="189">
        <f t="shared" si="4"/>
        <v>9.8039215686274508E-2</v>
      </c>
      <c r="T51" s="189">
        <f t="shared" si="5"/>
        <v>2.7450980392156862E-2</v>
      </c>
      <c r="U51" s="189">
        <f t="shared" si="6"/>
        <v>4.3137254901960784E-2</v>
      </c>
      <c r="V51" s="189">
        <f t="shared" si="7"/>
        <v>7.6470588235294124E-2</v>
      </c>
      <c r="W51" s="189">
        <f t="shared" si="8"/>
        <v>6.6666666666666666E-2</v>
      </c>
      <c r="X51" s="189">
        <f t="shared" si="9"/>
        <v>0.17843137254901961</v>
      </c>
      <c r="Y51" s="189">
        <f t="shared" si="10"/>
        <v>1.9607843137254902E-3</v>
      </c>
      <c r="Z51" s="189">
        <f t="shared" si="11"/>
        <v>0.10392156862745099</v>
      </c>
      <c r="AA51" s="189">
        <f t="shared" si="12"/>
        <v>2.3529411764705882E-2</v>
      </c>
      <c r="AB51" s="189">
        <f t="shared" si="13"/>
        <v>0.10980392156862745</v>
      </c>
      <c r="AC51" s="189">
        <f t="shared" si="14"/>
        <v>2.7450980392156862E-2</v>
      </c>
      <c r="AD51" s="189">
        <f t="shared" si="15"/>
        <v>8.2352941176470587E-2</v>
      </c>
      <c r="AE51" s="189">
        <f t="shared" si="16"/>
        <v>7.2549019607843143E-2</v>
      </c>
      <c r="AF51" s="189">
        <f t="shared" si="17"/>
        <v>2.6782900955781955E-2</v>
      </c>
      <c r="AG51" s="189">
        <f>town_establishments[[#This Row],[share of state establishments]]/($AF$250-$AF$249)</f>
        <v>2.7703840512792656E-2</v>
      </c>
      <c r="AH51" s="189">
        <f>town_establishments[[#This Row],[share of state establishments (no residual)]]/(INDEX(regional_establishments[share of state establishments],MATCH(town_establishments[[#This Row],[Regional Planning Commission]],regional_establishments[Regional Planning Commission],0)))</f>
        <v>9.4113305037829872E-2</v>
      </c>
    </row>
    <row r="52" spans="1:34" x14ac:dyDescent="0.25">
      <c r="A52" t="s">
        <v>262</v>
      </c>
      <c r="B52" t="str">
        <f>INDEX(town_population[Regional Planning Commission],MATCH(town_establishments[[#This Row],[Municipality]],town_population[Municipality],0))</f>
        <v>Northeastern Vermont Development Association</v>
      </c>
      <c r="C52">
        <v>2</v>
      </c>
      <c r="D52">
        <v>2</v>
      </c>
      <c r="E52">
        <v>2</v>
      </c>
      <c r="K52">
        <v>2</v>
      </c>
      <c r="L52">
        <v>1</v>
      </c>
      <c r="M52">
        <v>3</v>
      </c>
      <c r="O52">
        <v>3</v>
      </c>
      <c r="P52">
        <v>1</v>
      </c>
      <c r="Q52">
        <f t="shared" si="1"/>
        <v>16</v>
      </c>
      <c r="R52" s="189">
        <f t="shared" si="2"/>
        <v>0.125</v>
      </c>
      <c r="S52" s="189">
        <f t="shared" si="4"/>
        <v>0.125</v>
      </c>
      <c r="T52" s="189">
        <f t="shared" si="5"/>
        <v>0.125</v>
      </c>
      <c r="U52" s="189">
        <f t="shared" si="6"/>
        <v>0</v>
      </c>
      <c r="V52" s="189">
        <f t="shared" si="7"/>
        <v>0</v>
      </c>
      <c r="W52" s="189">
        <f t="shared" si="8"/>
        <v>0</v>
      </c>
      <c r="X52" s="189">
        <f t="shared" si="9"/>
        <v>0</v>
      </c>
      <c r="Y52" s="189">
        <f t="shared" si="10"/>
        <v>0</v>
      </c>
      <c r="Z52" s="189">
        <f t="shared" si="11"/>
        <v>0.125</v>
      </c>
      <c r="AA52" s="189">
        <f t="shared" si="12"/>
        <v>6.25E-2</v>
      </c>
      <c r="AB52" s="189">
        <f t="shared" si="13"/>
        <v>0.1875</v>
      </c>
      <c r="AC52" s="189">
        <f t="shared" si="14"/>
        <v>0</v>
      </c>
      <c r="AD52" s="189">
        <f t="shared" si="15"/>
        <v>0.1875</v>
      </c>
      <c r="AE52" s="189">
        <f t="shared" si="16"/>
        <v>6.25E-2</v>
      </c>
      <c r="AF52" s="189">
        <f t="shared" si="17"/>
        <v>8.4024787312257112E-4</v>
      </c>
      <c r="AG52" s="189">
        <f>town_establishments[[#This Row],[share of state establishments]]/($AF$250-$AF$249)</f>
        <v>8.6914009451898521E-4</v>
      </c>
      <c r="AH52" s="189">
        <f>town_establishments[[#This Row],[share of state establishments (no residual)]]/(INDEX(regional_establishments[share of state establishments],MATCH(town_establishments[[#This Row],[Regional Planning Commission]],regional_establishments[Regional Planning Commission],0)))</f>
        <v>1.0966415352981493E-2</v>
      </c>
    </row>
    <row r="53" spans="1:34" x14ac:dyDescent="0.25">
      <c r="A53" t="s">
        <v>263</v>
      </c>
      <c r="B53" t="str">
        <f>INDEX(town_population[Regional Planning Commission],MATCH(town_establishments[[#This Row],[Municipality]],town_population[Municipality],0))</f>
        <v>Two Rivers-Ottauquechee Regional Commission</v>
      </c>
      <c r="D53">
        <v>2</v>
      </c>
      <c r="E53">
        <v>2</v>
      </c>
      <c r="F53">
        <v>3</v>
      </c>
      <c r="H53">
        <v>1</v>
      </c>
      <c r="I53">
        <v>4</v>
      </c>
      <c r="K53">
        <v>1</v>
      </c>
      <c r="L53">
        <v>1</v>
      </c>
      <c r="M53">
        <v>2</v>
      </c>
      <c r="P53">
        <v>1</v>
      </c>
      <c r="Q53">
        <f t="shared" si="1"/>
        <v>17</v>
      </c>
      <c r="R53" s="189">
        <f t="shared" si="2"/>
        <v>0</v>
      </c>
      <c r="S53" s="189">
        <f t="shared" si="4"/>
        <v>0.11764705882352941</v>
      </c>
      <c r="T53" s="189">
        <f t="shared" si="5"/>
        <v>0.11764705882352941</v>
      </c>
      <c r="U53" s="189">
        <f t="shared" si="6"/>
        <v>0.17647058823529413</v>
      </c>
      <c r="V53" s="189">
        <f t="shared" si="7"/>
        <v>0</v>
      </c>
      <c r="W53" s="189">
        <f t="shared" si="8"/>
        <v>5.8823529411764705E-2</v>
      </c>
      <c r="X53" s="189">
        <f t="shared" si="9"/>
        <v>0.23529411764705882</v>
      </c>
      <c r="Y53" s="189">
        <f t="shared" si="10"/>
        <v>0</v>
      </c>
      <c r="Z53" s="189">
        <f t="shared" si="11"/>
        <v>5.8823529411764705E-2</v>
      </c>
      <c r="AA53" s="189">
        <f t="shared" si="12"/>
        <v>5.8823529411764705E-2</v>
      </c>
      <c r="AB53" s="189">
        <f t="shared" si="13"/>
        <v>0.11764705882352941</v>
      </c>
      <c r="AC53" s="189">
        <f t="shared" si="14"/>
        <v>0</v>
      </c>
      <c r="AD53" s="189">
        <f t="shared" si="15"/>
        <v>0</v>
      </c>
      <c r="AE53" s="189">
        <f t="shared" si="16"/>
        <v>5.8823529411764705E-2</v>
      </c>
      <c r="AF53" s="189">
        <f t="shared" si="17"/>
        <v>8.9276336519273183E-4</v>
      </c>
      <c r="AG53" s="189">
        <f>town_establishments[[#This Row],[share of state establishments]]/($AF$250-$AF$249)</f>
        <v>9.2346135042642181E-4</v>
      </c>
      <c r="AH53" s="189">
        <f>town_establishments[[#This Row],[share of state establishments (no residual)]]/(INDEX(regional_establishments[share of state establishments],MATCH(town_establishments[[#This Row],[Regional Planning Commission]],regional_establishments[Regional Planning Commission],0)))</f>
        <v>1.0493827160493827E-2</v>
      </c>
    </row>
    <row r="54" spans="1:34" x14ac:dyDescent="0.25">
      <c r="A54" t="s">
        <v>264</v>
      </c>
      <c r="B54" t="str">
        <f>INDEX(town_population[Regional Planning Commission],MATCH(town_establishments[[#This Row],[Municipality]],town_population[Municipality],0))</f>
        <v>Addison County Regional Planning Commission</v>
      </c>
      <c r="C54">
        <v>3</v>
      </c>
      <c r="D54">
        <v>3</v>
      </c>
      <c r="E54">
        <v>1</v>
      </c>
      <c r="F54">
        <v>1</v>
      </c>
      <c r="G54">
        <v>3</v>
      </c>
      <c r="I54">
        <v>6</v>
      </c>
      <c r="K54">
        <v>3</v>
      </c>
      <c r="L54">
        <v>1</v>
      </c>
      <c r="N54">
        <v>1</v>
      </c>
      <c r="P54">
        <v>4</v>
      </c>
      <c r="Q54">
        <f t="shared" si="1"/>
        <v>26</v>
      </c>
      <c r="R54" s="189">
        <f t="shared" si="2"/>
        <v>0.11538461538461539</v>
      </c>
      <c r="S54" s="189">
        <f t="shared" si="4"/>
        <v>0.11538461538461539</v>
      </c>
      <c r="T54" s="189">
        <f t="shared" si="5"/>
        <v>3.8461538461538464E-2</v>
      </c>
      <c r="U54" s="189">
        <f t="shared" si="6"/>
        <v>3.8461538461538464E-2</v>
      </c>
      <c r="V54" s="189">
        <f t="shared" si="7"/>
        <v>0.11538461538461539</v>
      </c>
      <c r="W54" s="189">
        <f t="shared" si="8"/>
        <v>0</v>
      </c>
      <c r="X54" s="189">
        <f t="shared" si="9"/>
        <v>0.23076923076923078</v>
      </c>
      <c r="Y54" s="189">
        <f t="shared" si="10"/>
        <v>0</v>
      </c>
      <c r="Z54" s="189">
        <f t="shared" si="11"/>
        <v>0.11538461538461539</v>
      </c>
      <c r="AA54" s="189">
        <f t="shared" si="12"/>
        <v>3.8461538461538464E-2</v>
      </c>
      <c r="AB54" s="189">
        <f t="shared" si="13"/>
        <v>0</v>
      </c>
      <c r="AC54" s="189">
        <f t="shared" si="14"/>
        <v>3.8461538461538464E-2</v>
      </c>
      <c r="AD54" s="189">
        <f t="shared" si="15"/>
        <v>0</v>
      </c>
      <c r="AE54" s="189">
        <f t="shared" si="16"/>
        <v>0.15384615384615385</v>
      </c>
      <c r="AF54" s="189">
        <f t="shared" si="17"/>
        <v>1.3654027938241782E-3</v>
      </c>
      <c r="AG54" s="189">
        <f>town_establishments[[#This Row],[share of state establishments]]/($AF$250-$AF$249)</f>
        <v>1.4123526535933511E-3</v>
      </c>
      <c r="AH54" s="189">
        <f>town_establishments[[#This Row],[share of state establishments (no residual)]]/(INDEX(regional_establishments[share of state establishments],MATCH(town_establishments[[#This Row],[Regional Planning Commission]],regional_establishments[Regional Planning Commission],0)))</f>
        <v>2.777777777777778E-2</v>
      </c>
    </row>
    <row r="55" spans="1:34" x14ac:dyDescent="0.25">
      <c r="A55" t="s">
        <v>265</v>
      </c>
      <c r="B55" t="str">
        <f>INDEX(town_population[Regional Planning Commission],MATCH(town_establishments[[#This Row],[Municipality]],town_population[Municipality],0))</f>
        <v>Northeastern Vermont Development Association</v>
      </c>
      <c r="D55">
        <v>2</v>
      </c>
      <c r="E55">
        <v>2</v>
      </c>
      <c r="F55">
        <v>1</v>
      </c>
      <c r="I55">
        <v>1</v>
      </c>
      <c r="K55">
        <v>1</v>
      </c>
      <c r="L55">
        <v>1</v>
      </c>
      <c r="O55">
        <v>3</v>
      </c>
      <c r="P55">
        <v>1</v>
      </c>
      <c r="Q55">
        <f t="shared" si="1"/>
        <v>12</v>
      </c>
      <c r="R55" s="189">
        <f t="shared" si="2"/>
        <v>0</v>
      </c>
      <c r="S55" s="189">
        <f t="shared" si="4"/>
        <v>0.16666666666666666</v>
      </c>
      <c r="T55" s="189">
        <f t="shared" si="5"/>
        <v>0.16666666666666666</v>
      </c>
      <c r="U55" s="189">
        <f t="shared" si="6"/>
        <v>8.3333333333333329E-2</v>
      </c>
      <c r="V55" s="189">
        <f t="shared" si="7"/>
        <v>0</v>
      </c>
      <c r="W55" s="189">
        <f t="shared" si="8"/>
        <v>0</v>
      </c>
      <c r="X55" s="189">
        <f t="shared" si="9"/>
        <v>8.3333333333333329E-2</v>
      </c>
      <c r="Y55" s="189">
        <f t="shared" si="10"/>
        <v>0</v>
      </c>
      <c r="Z55" s="189">
        <f t="shared" si="11"/>
        <v>8.3333333333333329E-2</v>
      </c>
      <c r="AA55" s="189">
        <f t="shared" si="12"/>
        <v>8.3333333333333329E-2</v>
      </c>
      <c r="AB55" s="189">
        <f t="shared" si="13"/>
        <v>0</v>
      </c>
      <c r="AC55" s="189">
        <f t="shared" si="14"/>
        <v>0</v>
      </c>
      <c r="AD55" s="189">
        <f t="shared" si="15"/>
        <v>0.25</v>
      </c>
      <c r="AE55" s="189">
        <f t="shared" si="16"/>
        <v>8.3333333333333329E-2</v>
      </c>
      <c r="AF55" s="189">
        <f t="shared" si="17"/>
        <v>6.3018590484192839E-4</v>
      </c>
      <c r="AG55" s="189">
        <f>town_establishments[[#This Row],[share of state establishments]]/($AF$250-$AF$249)</f>
        <v>6.5185507088923894E-4</v>
      </c>
      <c r="AH55" s="189">
        <f>town_establishments[[#This Row],[share of state establishments (no residual)]]/(INDEX(regional_establishments[share of state establishments],MATCH(town_establishments[[#This Row],[Regional Planning Commission]],regional_establishments[Regional Planning Commission],0)))</f>
        <v>8.2248115147361203E-3</v>
      </c>
    </row>
    <row r="56" spans="1:34" x14ac:dyDescent="0.25">
      <c r="A56" t="s">
        <v>266</v>
      </c>
      <c r="B56" t="str">
        <f>INDEX(town_population[Regional Planning Commission],MATCH(town_establishments[[#This Row],[Municipality]],town_population[Municipality],0))</f>
        <v>Northeastern Vermont Development Association</v>
      </c>
      <c r="C56">
        <v>1</v>
      </c>
      <c r="D56">
        <v>3</v>
      </c>
      <c r="E56">
        <v>2</v>
      </c>
      <c r="F56">
        <v>2</v>
      </c>
      <c r="H56">
        <v>1</v>
      </c>
      <c r="I56">
        <v>2</v>
      </c>
      <c r="K56">
        <v>4</v>
      </c>
      <c r="L56">
        <v>1</v>
      </c>
      <c r="M56">
        <v>2</v>
      </c>
      <c r="O56">
        <v>2</v>
      </c>
      <c r="P56">
        <v>8</v>
      </c>
      <c r="Q56">
        <f t="shared" si="1"/>
        <v>28</v>
      </c>
      <c r="R56" s="189">
        <f t="shared" si="2"/>
        <v>3.5714285714285712E-2</v>
      </c>
      <c r="S56" s="189">
        <f t="shared" si="4"/>
        <v>0.10714285714285714</v>
      </c>
      <c r="T56" s="189">
        <f t="shared" si="5"/>
        <v>7.1428571428571425E-2</v>
      </c>
      <c r="U56" s="189">
        <f t="shared" si="6"/>
        <v>7.1428571428571425E-2</v>
      </c>
      <c r="V56" s="189">
        <f t="shared" si="7"/>
        <v>0</v>
      </c>
      <c r="W56" s="189">
        <f t="shared" si="8"/>
        <v>3.5714285714285712E-2</v>
      </c>
      <c r="X56" s="189">
        <f t="shared" si="9"/>
        <v>7.1428571428571425E-2</v>
      </c>
      <c r="Y56" s="189">
        <f t="shared" si="10"/>
        <v>0</v>
      </c>
      <c r="Z56" s="189">
        <f t="shared" si="11"/>
        <v>0.14285714285714285</v>
      </c>
      <c r="AA56" s="189">
        <f t="shared" si="12"/>
        <v>3.5714285714285712E-2</v>
      </c>
      <c r="AB56" s="189">
        <f t="shared" si="13"/>
        <v>7.1428571428571425E-2</v>
      </c>
      <c r="AC56" s="189">
        <f t="shared" si="14"/>
        <v>0</v>
      </c>
      <c r="AD56" s="189">
        <f t="shared" si="15"/>
        <v>7.1428571428571425E-2</v>
      </c>
      <c r="AE56" s="189">
        <f t="shared" si="16"/>
        <v>0.2857142857142857</v>
      </c>
      <c r="AF56" s="189">
        <f t="shared" si="17"/>
        <v>1.4704337779644996E-3</v>
      </c>
      <c r="AG56" s="189">
        <f>town_establishments[[#This Row],[share of state establishments]]/($AF$250-$AF$249)</f>
        <v>1.5209951654082243E-3</v>
      </c>
      <c r="AH56" s="189">
        <f>town_establishments[[#This Row],[share of state establishments (no residual)]]/(INDEX(regional_establishments[share of state establishments],MATCH(town_establishments[[#This Row],[Regional Planning Commission]],regional_establishments[Regional Planning Commission],0)))</f>
        <v>1.9191226867717615E-2</v>
      </c>
    </row>
    <row r="57" spans="1:34" x14ac:dyDescent="0.25">
      <c r="A57" t="s">
        <v>267</v>
      </c>
      <c r="B57" t="str">
        <f>INDEX(town_population[Regional Planning Commission],MATCH(town_establishments[[#This Row],[Municipality]],town_population[Municipality],0))</f>
        <v>Rutland Regional Planning Commission</v>
      </c>
      <c r="C57">
        <v>1</v>
      </c>
      <c r="D57">
        <v>2</v>
      </c>
      <c r="E57">
        <v>1</v>
      </c>
      <c r="F57">
        <v>1</v>
      </c>
      <c r="I57">
        <v>3</v>
      </c>
      <c r="K57">
        <v>1</v>
      </c>
      <c r="L57">
        <v>1</v>
      </c>
      <c r="M57">
        <v>1</v>
      </c>
      <c r="N57">
        <v>2</v>
      </c>
      <c r="P57">
        <v>2</v>
      </c>
      <c r="Q57">
        <f t="shared" si="1"/>
        <v>15</v>
      </c>
      <c r="R57" s="189">
        <f t="shared" si="2"/>
        <v>6.6666666666666666E-2</v>
      </c>
      <c r="S57" s="189">
        <f t="shared" si="4"/>
        <v>0.13333333333333333</v>
      </c>
      <c r="T57" s="189">
        <f t="shared" si="5"/>
        <v>6.6666666666666666E-2</v>
      </c>
      <c r="U57" s="189">
        <f t="shared" si="6"/>
        <v>6.6666666666666666E-2</v>
      </c>
      <c r="V57" s="189">
        <f t="shared" si="7"/>
        <v>0</v>
      </c>
      <c r="W57" s="189">
        <f t="shared" si="8"/>
        <v>0</v>
      </c>
      <c r="X57" s="189">
        <f t="shared" si="9"/>
        <v>0.2</v>
      </c>
      <c r="Y57" s="189">
        <f t="shared" si="10"/>
        <v>0</v>
      </c>
      <c r="Z57" s="189">
        <f t="shared" si="11"/>
        <v>6.6666666666666666E-2</v>
      </c>
      <c r="AA57" s="189">
        <f t="shared" si="12"/>
        <v>6.6666666666666666E-2</v>
      </c>
      <c r="AB57" s="189">
        <f t="shared" si="13"/>
        <v>6.6666666666666666E-2</v>
      </c>
      <c r="AC57" s="189">
        <f t="shared" si="14"/>
        <v>0.13333333333333333</v>
      </c>
      <c r="AD57" s="189">
        <f t="shared" si="15"/>
        <v>0</v>
      </c>
      <c r="AE57" s="189">
        <f t="shared" si="16"/>
        <v>0.13333333333333333</v>
      </c>
      <c r="AF57" s="189">
        <f t="shared" si="17"/>
        <v>7.8773238105241041E-4</v>
      </c>
      <c r="AG57" s="189">
        <f>town_establishments[[#This Row],[share of state establishments]]/($AF$250-$AF$249)</f>
        <v>8.1481883861154862E-4</v>
      </c>
      <c r="AH57" s="189">
        <f>town_establishments[[#This Row],[share of state establishments (no residual)]]/(INDEX(regional_establishments[share of state establishments],MATCH(town_establishments[[#This Row],[Regional Planning Commission]],regional_establishments[Regional Planning Commission],0)))</f>
        <v>8.4364454443194587E-3</v>
      </c>
    </row>
    <row r="58" spans="1:34" x14ac:dyDescent="0.25">
      <c r="A58" t="s">
        <v>268</v>
      </c>
      <c r="B58" t="str">
        <f>INDEX(town_population[Regional Planning Commission],MATCH(town_establishments[[#This Row],[Municipality]],town_population[Municipality],0))</f>
        <v>Northeastern Vermont Development Association</v>
      </c>
      <c r="C58">
        <v>1</v>
      </c>
      <c r="D58">
        <v>5</v>
      </c>
      <c r="E58">
        <v>4</v>
      </c>
      <c r="F58">
        <v>4</v>
      </c>
      <c r="G58">
        <v>3</v>
      </c>
      <c r="I58">
        <v>11</v>
      </c>
      <c r="K58">
        <v>1</v>
      </c>
      <c r="L58">
        <v>1</v>
      </c>
      <c r="M58">
        <v>4</v>
      </c>
      <c r="N58">
        <v>1</v>
      </c>
      <c r="O58">
        <v>6</v>
      </c>
      <c r="P58">
        <v>3</v>
      </c>
      <c r="Q58">
        <f t="shared" si="1"/>
        <v>44</v>
      </c>
      <c r="R58" s="189">
        <f t="shared" si="2"/>
        <v>2.2727272727272728E-2</v>
      </c>
      <c r="S58" s="189">
        <f t="shared" si="4"/>
        <v>0.11363636363636363</v>
      </c>
      <c r="T58" s="189">
        <f t="shared" si="5"/>
        <v>9.0909090909090912E-2</v>
      </c>
      <c r="U58" s="189">
        <f t="shared" si="6"/>
        <v>9.0909090909090912E-2</v>
      </c>
      <c r="V58" s="189">
        <f t="shared" si="7"/>
        <v>6.8181818181818177E-2</v>
      </c>
      <c r="W58" s="189">
        <f t="shared" si="8"/>
        <v>0</v>
      </c>
      <c r="X58" s="189">
        <f t="shared" si="9"/>
        <v>0.25</v>
      </c>
      <c r="Y58" s="189">
        <f t="shared" si="10"/>
        <v>0</v>
      </c>
      <c r="Z58" s="189">
        <f t="shared" si="11"/>
        <v>2.2727272727272728E-2</v>
      </c>
      <c r="AA58" s="189">
        <f t="shared" si="12"/>
        <v>2.2727272727272728E-2</v>
      </c>
      <c r="AB58" s="189">
        <f t="shared" si="13"/>
        <v>9.0909090909090912E-2</v>
      </c>
      <c r="AC58" s="189">
        <f t="shared" si="14"/>
        <v>2.2727272727272728E-2</v>
      </c>
      <c r="AD58" s="189">
        <f t="shared" si="15"/>
        <v>0.13636363636363635</v>
      </c>
      <c r="AE58" s="189">
        <f t="shared" si="16"/>
        <v>6.8181818181818177E-2</v>
      </c>
      <c r="AF58" s="189">
        <f t="shared" si="17"/>
        <v>2.3106816510870707E-3</v>
      </c>
      <c r="AG58" s="189">
        <f>town_establishments[[#This Row],[share of state establishments]]/($AF$250-$AF$249)</f>
        <v>2.3901352599272094E-3</v>
      </c>
      <c r="AH58" s="189">
        <f>town_establishments[[#This Row],[share of state establishments (no residual)]]/(INDEX(regional_establishments[share of state establishments],MATCH(town_establishments[[#This Row],[Regional Planning Commission]],regional_establishments[Regional Planning Commission],0)))</f>
        <v>3.0157642220699107E-2</v>
      </c>
    </row>
    <row r="59" spans="1:34" x14ac:dyDescent="0.25">
      <c r="A59" t="s">
        <v>269</v>
      </c>
      <c r="B59" t="str">
        <f>INDEX(town_population[Regional Planning Commission],MATCH(town_establishments[[#This Row],[Municipality]],town_population[Municipality],0))</f>
        <v>Northeastern Vermont Development Association</v>
      </c>
      <c r="C59">
        <v>10</v>
      </c>
      <c r="D59">
        <v>31</v>
      </c>
      <c r="E59">
        <v>9</v>
      </c>
      <c r="F59">
        <v>3</v>
      </c>
      <c r="G59">
        <v>5</v>
      </c>
      <c r="H59">
        <v>6</v>
      </c>
      <c r="I59">
        <v>9</v>
      </c>
      <c r="J59">
        <v>1</v>
      </c>
      <c r="K59">
        <v>8</v>
      </c>
      <c r="L59">
        <v>2</v>
      </c>
      <c r="M59">
        <v>9</v>
      </c>
      <c r="N59">
        <v>1</v>
      </c>
      <c r="O59">
        <v>13</v>
      </c>
      <c r="P59">
        <v>10</v>
      </c>
      <c r="Q59">
        <f t="shared" si="1"/>
        <v>117</v>
      </c>
      <c r="R59" s="189">
        <f t="shared" si="2"/>
        <v>8.5470085470085472E-2</v>
      </c>
      <c r="S59" s="189">
        <f t="shared" si="4"/>
        <v>0.26495726495726496</v>
      </c>
      <c r="T59" s="189">
        <f t="shared" si="5"/>
        <v>7.6923076923076927E-2</v>
      </c>
      <c r="U59" s="189">
        <f t="shared" si="6"/>
        <v>2.564102564102564E-2</v>
      </c>
      <c r="V59" s="189">
        <f t="shared" si="7"/>
        <v>4.2735042735042736E-2</v>
      </c>
      <c r="W59" s="189">
        <f t="shared" si="8"/>
        <v>5.128205128205128E-2</v>
      </c>
      <c r="X59" s="189">
        <f t="shared" si="9"/>
        <v>7.6923076923076927E-2</v>
      </c>
      <c r="Y59" s="189">
        <f t="shared" si="10"/>
        <v>8.5470085470085479E-3</v>
      </c>
      <c r="Z59" s="189">
        <f t="shared" si="11"/>
        <v>6.8376068376068383E-2</v>
      </c>
      <c r="AA59" s="189">
        <f t="shared" si="12"/>
        <v>1.7094017094017096E-2</v>
      </c>
      <c r="AB59" s="189">
        <f t="shared" si="13"/>
        <v>7.6923076923076927E-2</v>
      </c>
      <c r="AC59" s="189">
        <f t="shared" si="14"/>
        <v>8.5470085470085479E-3</v>
      </c>
      <c r="AD59" s="189">
        <f t="shared" si="15"/>
        <v>0.1111111111111111</v>
      </c>
      <c r="AE59" s="189">
        <f t="shared" si="16"/>
        <v>8.5470085470085472E-2</v>
      </c>
      <c r="AF59" s="189">
        <f t="shared" si="17"/>
        <v>6.1443125722088019E-3</v>
      </c>
      <c r="AG59" s="189">
        <f>town_establishments[[#This Row],[share of state establishments]]/($AF$250-$AF$249)</f>
        <v>6.3555869411700801E-3</v>
      </c>
      <c r="AH59" s="189">
        <f>town_establishments[[#This Row],[share of state establishments (no residual)]]/(INDEX(regional_establishments[share of state establishments],MATCH(town_establishments[[#This Row],[Regional Planning Commission]],regional_establishments[Regional Planning Commission],0)))</f>
        <v>8.0191912268677182E-2</v>
      </c>
    </row>
    <row r="60" spans="1:34" x14ac:dyDescent="0.25">
      <c r="A60" t="s">
        <v>270</v>
      </c>
      <c r="B60" t="str">
        <f>INDEX(town_population[Regional Planning Commission],MATCH(town_establishments[[#This Row],[Municipality]],town_population[Municipality],0))</f>
        <v>Bennington County Regional Commission</v>
      </c>
      <c r="C60">
        <v>5</v>
      </c>
      <c r="D60">
        <v>5</v>
      </c>
      <c r="E60">
        <v>2</v>
      </c>
      <c r="F60">
        <v>3</v>
      </c>
      <c r="G60">
        <v>6</v>
      </c>
      <c r="H60">
        <v>3</v>
      </c>
      <c r="I60">
        <v>16</v>
      </c>
      <c r="J60">
        <v>1</v>
      </c>
      <c r="K60">
        <v>5</v>
      </c>
      <c r="L60">
        <v>3</v>
      </c>
      <c r="M60">
        <v>3</v>
      </c>
      <c r="N60">
        <v>3</v>
      </c>
      <c r="O60">
        <v>10</v>
      </c>
      <c r="P60">
        <v>7</v>
      </c>
      <c r="Q60">
        <f t="shared" si="1"/>
        <v>72</v>
      </c>
      <c r="R60" s="189">
        <f t="shared" si="2"/>
        <v>6.9444444444444448E-2</v>
      </c>
      <c r="S60" s="189">
        <f t="shared" si="4"/>
        <v>6.9444444444444448E-2</v>
      </c>
      <c r="T60" s="189">
        <f t="shared" si="5"/>
        <v>2.7777777777777776E-2</v>
      </c>
      <c r="U60" s="189">
        <f t="shared" si="6"/>
        <v>4.1666666666666664E-2</v>
      </c>
      <c r="V60" s="189">
        <f t="shared" si="7"/>
        <v>8.3333333333333329E-2</v>
      </c>
      <c r="W60" s="189">
        <f t="shared" si="8"/>
        <v>4.1666666666666664E-2</v>
      </c>
      <c r="X60" s="189">
        <f t="shared" si="9"/>
        <v>0.22222222222222221</v>
      </c>
      <c r="Y60" s="189">
        <f t="shared" si="10"/>
        <v>1.3888888888888888E-2</v>
      </c>
      <c r="Z60" s="189">
        <f t="shared" si="11"/>
        <v>6.9444444444444448E-2</v>
      </c>
      <c r="AA60" s="189">
        <f t="shared" si="12"/>
        <v>4.1666666666666664E-2</v>
      </c>
      <c r="AB60" s="189">
        <f t="shared" si="13"/>
        <v>4.1666666666666664E-2</v>
      </c>
      <c r="AC60" s="189">
        <f t="shared" si="14"/>
        <v>4.1666666666666664E-2</v>
      </c>
      <c r="AD60" s="189">
        <f t="shared" si="15"/>
        <v>0.1388888888888889</v>
      </c>
      <c r="AE60" s="189">
        <f t="shared" si="16"/>
        <v>9.7222222222222224E-2</v>
      </c>
      <c r="AF60" s="189">
        <f t="shared" si="17"/>
        <v>3.7811154290515701E-3</v>
      </c>
      <c r="AG60" s="189">
        <f>town_establishments[[#This Row],[share of state establishments]]/($AF$250-$AF$249)</f>
        <v>3.911130425335434E-3</v>
      </c>
      <c r="AH60" s="189">
        <f>town_establishments[[#This Row],[share of state establishments (no residual)]]/(INDEX(regional_establishments[share of state establishments],MATCH(town_establishments[[#This Row],[Regional Planning Commission]],regional_establishments[Regional Planning Commission],0)))</f>
        <v>6.2772449869224048E-2</v>
      </c>
    </row>
    <row r="61" spans="1:34" x14ac:dyDescent="0.25">
      <c r="A61" t="s">
        <v>271</v>
      </c>
      <c r="B61" t="str">
        <f>INDEX(town_population[Regional Planning Commission],MATCH(town_establishments[[#This Row],[Municipality]],town_population[Municipality],0))</f>
        <v>Windham Regional Commission</v>
      </c>
      <c r="C61">
        <v>4</v>
      </c>
      <c r="D61">
        <v>9</v>
      </c>
      <c r="E61">
        <v>2</v>
      </c>
      <c r="G61">
        <v>6</v>
      </c>
      <c r="H61">
        <v>14</v>
      </c>
      <c r="I61">
        <v>10</v>
      </c>
      <c r="K61">
        <v>9</v>
      </c>
      <c r="L61">
        <v>2</v>
      </c>
      <c r="M61">
        <v>2</v>
      </c>
      <c r="O61">
        <v>26</v>
      </c>
      <c r="P61">
        <v>6</v>
      </c>
      <c r="Q61">
        <f t="shared" si="1"/>
        <v>90</v>
      </c>
      <c r="R61" s="189">
        <f t="shared" si="2"/>
        <v>4.4444444444444446E-2</v>
      </c>
      <c r="S61" s="189">
        <f t="shared" si="4"/>
        <v>0.1</v>
      </c>
      <c r="T61" s="189">
        <f t="shared" si="5"/>
        <v>2.2222222222222223E-2</v>
      </c>
      <c r="U61" s="189">
        <f t="shared" si="6"/>
        <v>0</v>
      </c>
      <c r="V61" s="189">
        <f t="shared" si="7"/>
        <v>6.6666666666666666E-2</v>
      </c>
      <c r="W61" s="189">
        <f t="shared" si="8"/>
        <v>0.15555555555555556</v>
      </c>
      <c r="X61" s="189">
        <f t="shared" si="9"/>
        <v>0.1111111111111111</v>
      </c>
      <c r="Y61" s="189">
        <f t="shared" si="10"/>
        <v>0</v>
      </c>
      <c r="Z61" s="189">
        <f t="shared" si="11"/>
        <v>0.1</v>
      </c>
      <c r="AA61" s="189">
        <f t="shared" si="12"/>
        <v>2.2222222222222223E-2</v>
      </c>
      <c r="AB61" s="189">
        <f t="shared" si="13"/>
        <v>2.2222222222222223E-2</v>
      </c>
      <c r="AC61" s="189">
        <f t="shared" si="14"/>
        <v>0</v>
      </c>
      <c r="AD61" s="189">
        <f t="shared" si="15"/>
        <v>0.28888888888888886</v>
      </c>
      <c r="AE61" s="189">
        <f t="shared" si="16"/>
        <v>6.6666666666666666E-2</v>
      </c>
      <c r="AF61" s="189">
        <f t="shared" si="17"/>
        <v>4.7263942863144627E-3</v>
      </c>
      <c r="AG61" s="189">
        <f>town_establishments[[#This Row],[share of state establishments]]/($AF$250-$AF$249)</f>
        <v>4.8889130316692921E-3</v>
      </c>
      <c r="AH61" s="189">
        <f>town_establishments[[#This Row],[share of state establishments (no residual)]]/(INDEX(regional_establishments[share of state establishments],MATCH(town_establishments[[#This Row],[Regional Planning Commission]],regional_establishments[Regional Planning Commission],0)))</f>
        <v>5.7952350289761749E-2</v>
      </c>
    </row>
    <row r="62" spans="1:34" x14ac:dyDescent="0.25">
      <c r="A62" t="s">
        <v>272</v>
      </c>
      <c r="B62" t="str">
        <f>INDEX(town_population[Regional Planning Commission],MATCH(town_establishments[[#This Row],[Municipality]],town_population[Municipality],0))</f>
        <v>Windham Regional Commission</v>
      </c>
      <c r="C62">
        <v>5</v>
      </c>
      <c r="D62">
        <v>2</v>
      </c>
      <c r="E62">
        <v>1</v>
      </c>
      <c r="F62">
        <v>5</v>
      </c>
      <c r="H62">
        <v>2</v>
      </c>
      <c r="I62">
        <v>4</v>
      </c>
      <c r="K62">
        <v>4</v>
      </c>
      <c r="L62">
        <v>1</v>
      </c>
      <c r="M62">
        <v>1</v>
      </c>
      <c r="O62">
        <v>2</v>
      </c>
      <c r="P62">
        <v>4</v>
      </c>
      <c r="Q62">
        <f t="shared" si="1"/>
        <v>31</v>
      </c>
      <c r="R62" s="189">
        <f t="shared" si="2"/>
        <v>0.16129032258064516</v>
      </c>
      <c r="S62" s="189">
        <f t="shared" si="4"/>
        <v>6.4516129032258063E-2</v>
      </c>
      <c r="T62" s="189">
        <f t="shared" si="5"/>
        <v>3.2258064516129031E-2</v>
      </c>
      <c r="U62" s="189">
        <f t="shared" si="6"/>
        <v>0.16129032258064516</v>
      </c>
      <c r="V62" s="189">
        <f t="shared" si="7"/>
        <v>0</v>
      </c>
      <c r="W62" s="189">
        <f t="shared" si="8"/>
        <v>6.4516129032258063E-2</v>
      </c>
      <c r="X62" s="189">
        <f t="shared" si="9"/>
        <v>0.12903225806451613</v>
      </c>
      <c r="Y62" s="189">
        <f t="shared" si="10"/>
        <v>0</v>
      </c>
      <c r="Z62" s="189">
        <f t="shared" si="11"/>
        <v>0.12903225806451613</v>
      </c>
      <c r="AA62" s="189">
        <f t="shared" si="12"/>
        <v>3.2258064516129031E-2</v>
      </c>
      <c r="AB62" s="189">
        <f t="shared" si="13"/>
        <v>3.2258064516129031E-2</v>
      </c>
      <c r="AC62" s="189">
        <f t="shared" si="14"/>
        <v>0</v>
      </c>
      <c r="AD62" s="189">
        <f t="shared" si="15"/>
        <v>6.4516129032258063E-2</v>
      </c>
      <c r="AE62" s="189">
        <f t="shared" si="16"/>
        <v>0.12903225806451613</v>
      </c>
      <c r="AF62" s="189">
        <f t="shared" si="17"/>
        <v>1.6279802541749816E-3</v>
      </c>
      <c r="AG62" s="189">
        <f>town_establishments[[#This Row],[share of state establishments]]/($AF$250-$AF$249)</f>
        <v>1.6839589331305339E-3</v>
      </c>
      <c r="AH62" s="189">
        <f>town_establishments[[#This Row],[share of state establishments (no residual)]]/(INDEX(regional_establishments[share of state establishments],MATCH(town_establishments[[#This Row],[Regional Planning Commission]],regional_establishments[Regional Planning Commission],0)))</f>
        <v>1.9961365099806824E-2</v>
      </c>
    </row>
    <row r="63" spans="1:34" x14ac:dyDescent="0.25">
      <c r="A63" t="s">
        <v>273</v>
      </c>
      <c r="B63" t="str">
        <f>INDEX(town_population[Regional Planning Commission],MATCH(town_establishments[[#This Row],[Municipality]],town_population[Municipality],0))</f>
        <v>Central Vermont Regional Planning Commission</v>
      </c>
      <c r="E63">
        <v>1</v>
      </c>
      <c r="I63">
        <v>4</v>
      </c>
      <c r="K63">
        <v>5</v>
      </c>
      <c r="L63">
        <v>1</v>
      </c>
      <c r="M63">
        <v>1</v>
      </c>
      <c r="P63">
        <v>2</v>
      </c>
      <c r="Q63">
        <f t="shared" si="1"/>
        <v>14</v>
      </c>
      <c r="R63" s="189">
        <f t="shared" si="2"/>
        <v>0</v>
      </c>
      <c r="S63" s="189">
        <f t="shared" si="4"/>
        <v>0</v>
      </c>
      <c r="T63" s="189">
        <f t="shared" si="5"/>
        <v>7.1428571428571425E-2</v>
      </c>
      <c r="U63" s="189">
        <f t="shared" si="6"/>
        <v>0</v>
      </c>
      <c r="V63" s="189">
        <f t="shared" si="7"/>
        <v>0</v>
      </c>
      <c r="W63" s="189">
        <f t="shared" si="8"/>
        <v>0</v>
      </c>
      <c r="X63" s="189">
        <f t="shared" si="9"/>
        <v>0.2857142857142857</v>
      </c>
      <c r="Y63" s="189">
        <f t="shared" si="10"/>
        <v>0</v>
      </c>
      <c r="Z63" s="189">
        <f t="shared" si="11"/>
        <v>0.35714285714285715</v>
      </c>
      <c r="AA63" s="189">
        <f t="shared" si="12"/>
        <v>7.1428571428571425E-2</v>
      </c>
      <c r="AB63" s="189">
        <f t="shared" si="13"/>
        <v>7.1428571428571425E-2</v>
      </c>
      <c r="AC63" s="189">
        <f t="shared" si="14"/>
        <v>0</v>
      </c>
      <c r="AD63" s="189">
        <f t="shared" si="15"/>
        <v>0</v>
      </c>
      <c r="AE63" s="189">
        <f t="shared" si="16"/>
        <v>0.14285714285714285</v>
      </c>
      <c r="AF63" s="189">
        <f t="shared" si="17"/>
        <v>7.3521688898224981E-4</v>
      </c>
      <c r="AG63" s="189">
        <f>town_establishments[[#This Row],[share of state establishments]]/($AF$250-$AF$249)</f>
        <v>7.6049758270411213E-4</v>
      </c>
      <c r="AH63" s="189">
        <f>town_establishments[[#This Row],[share of state establishments (no residual)]]/(INDEX(regional_establishments[share of state establishments],MATCH(town_establishments[[#This Row],[Regional Planning Commission]],regional_establishments[Regional Planning Commission],0)))</f>
        <v>6.8999507146377528E-3</v>
      </c>
    </row>
    <row r="64" spans="1:34" x14ac:dyDescent="0.25">
      <c r="A64" t="s">
        <v>274</v>
      </c>
      <c r="B64" t="str">
        <f>INDEX(town_population[Regional Planning Commission],MATCH(town_establishments[[#This Row],[Municipality]],town_population[Municipality],0))</f>
        <v>Northeastern Vermont Development Association</v>
      </c>
      <c r="E64">
        <v>1</v>
      </c>
      <c r="H64">
        <v>1</v>
      </c>
      <c r="I64">
        <v>1</v>
      </c>
      <c r="P64">
        <v>2</v>
      </c>
      <c r="Q64">
        <f t="shared" si="1"/>
        <v>5</v>
      </c>
      <c r="R64" s="189">
        <f t="shared" si="2"/>
        <v>0</v>
      </c>
      <c r="S64" s="189">
        <f t="shared" si="4"/>
        <v>0</v>
      </c>
      <c r="T64" s="189">
        <f t="shared" si="5"/>
        <v>0.2</v>
      </c>
      <c r="U64" s="189">
        <f t="shared" si="6"/>
        <v>0</v>
      </c>
      <c r="V64" s="189">
        <f t="shared" si="7"/>
        <v>0</v>
      </c>
      <c r="W64" s="189">
        <f t="shared" si="8"/>
        <v>0.2</v>
      </c>
      <c r="X64" s="189">
        <f t="shared" si="9"/>
        <v>0.2</v>
      </c>
      <c r="Y64" s="189">
        <f t="shared" si="10"/>
        <v>0</v>
      </c>
      <c r="Z64" s="189">
        <f t="shared" si="11"/>
        <v>0</v>
      </c>
      <c r="AA64" s="189">
        <f t="shared" si="12"/>
        <v>0</v>
      </c>
      <c r="AB64" s="189">
        <f t="shared" si="13"/>
        <v>0</v>
      </c>
      <c r="AC64" s="189">
        <f t="shared" si="14"/>
        <v>0</v>
      </c>
      <c r="AD64" s="189">
        <f t="shared" si="15"/>
        <v>0</v>
      </c>
      <c r="AE64" s="189">
        <f t="shared" si="16"/>
        <v>0.4</v>
      </c>
      <c r="AF64" s="189">
        <f t="shared" si="17"/>
        <v>2.6257746035080349E-4</v>
      </c>
      <c r="AG64" s="189">
        <f>town_establishments[[#This Row],[share of state establishments]]/($AF$250-$AF$249)</f>
        <v>2.7160627953718287E-4</v>
      </c>
      <c r="AH64" s="189">
        <f>town_establishments[[#This Row],[share of state establishments (no residual)]]/(INDEX(regional_establishments[share of state establishments],MATCH(town_establishments[[#This Row],[Regional Planning Commission]],regional_establishments[Regional Planning Commission],0)))</f>
        <v>3.4270047978067165E-3</v>
      </c>
    </row>
    <row r="65" spans="1:34" x14ac:dyDescent="0.25">
      <c r="A65" t="s">
        <v>275</v>
      </c>
      <c r="B65" t="str">
        <f>INDEX(town_population[Regional Planning Commission],MATCH(town_establishments[[#This Row],[Municipality]],town_population[Municipality],0))</f>
        <v>Central Vermont Regional Planning Commission</v>
      </c>
      <c r="C65">
        <v>2</v>
      </c>
      <c r="D65">
        <v>18</v>
      </c>
      <c r="E65">
        <v>2</v>
      </c>
      <c r="G65">
        <v>4</v>
      </c>
      <c r="H65">
        <v>0</v>
      </c>
      <c r="I65">
        <v>8</v>
      </c>
      <c r="K65">
        <v>4</v>
      </c>
      <c r="L65">
        <v>1</v>
      </c>
      <c r="M65">
        <v>2</v>
      </c>
      <c r="N65">
        <v>3</v>
      </c>
      <c r="P65">
        <v>5</v>
      </c>
      <c r="Q65">
        <f t="shared" si="1"/>
        <v>49</v>
      </c>
      <c r="R65" s="189">
        <f t="shared" si="2"/>
        <v>4.0816326530612242E-2</v>
      </c>
      <c r="S65" s="189">
        <f t="shared" si="4"/>
        <v>0.36734693877551022</v>
      </c>
      <c r="T65" s="189">
        <f t="shared" si="5"/>
        <v>4.0816326530612242E-2</v>
      </c>
      <c r="U65" s="189">
        <f t="shared" si="6"/>
        <v>0</v>
      </c>
      <c r="V65" s="189">
        <f t="shared" si="7"/>
        <v>8.1632653061224483E-2</v>
      </c>
      <c r="W65" s="189">
        <f t="shared" si="8"/>
        <v>0</v>
      </c>
      <c r="X65" s="189">
        <f t="shared" si="9"/>
        <v>0.16326530612244897</v>
      </c>
      <c r="Y65" s="189">
        <f t="shared" si="10"/>
        <v>0</v>
      </c>
      <c r="Z65" s="189">
        <f t="shared" si="11"/>
        <v>8.1632653061224483E-2</v>
      </c>
      <c r="AA65" s="189">
        <f t="shared" si="12"/>
        <v>2.0408163265306121E-2</v>
      </c>
      <c r="AB65" s="189">
        <f t="shared" si="13"/>
        <v>4.0816326530612242E-2</v>
      </c>
      <c r="AC65" s="189">
        <f t="shared" si="14"/>
        <v>6.1224489795918366E-2</v>
      </c>
      <c r="AD65" s="189">
        <f t="shared" si="15"/>
        <v>0</v>
      </c>
      <c r="AE65" s="189">
        <f t="shared" si="16"/>
        <v>0.10204081632653061</v>
      </c>
      <c r="AF65" s="189">
        <f t="shared" si="17"/>
        <v>2.5732591114378742E-3</v>
      </c>
      <c r="AG65" s="189">
        <f>town_establishments[[#This Row],[share of state establishments]]/($AF$250-$AF$249)</f>
        <v>2.6617415394643924E-3</v>
      </c>
      <c r="AH65" s="189">
        <f>town_establishments[[#This Row],[share of state establishments (no residual)]]/(INDEX(regional_establishments[share of state establishments],MATCH(town_establishments[[#This Row],[Regional Planning Commission]],regional_establishments[Regional Planning Commission],0)))</f>
        <v>2.4149827501232134E-2</v>
      </c>
    </row>
    <row r="66" spans="1:34" x14ac:dyDescent="0.25">
      <c r="A66" t="s">
        <v>276</v>
      </c>
      <c r="B66" t="str">
        <f>INDEX(town_population[Regional Planning Commission],MATCH(town_establishments[[#This Row],[Municipality]],town_population[Municipality],0))</f>
        <v>Lamoille County Planning Commission</v>
      </c>
      <c r="C66">
        <v>0</v>
      </c>
      <c r="D66">
        <v>3</v>
      </c>
      <c r="E66">
        <v>1</v>
      </c>
      <c r="I66">
        <v>2</v>
      </c>
      <c r="K66">
        <v>2</v>
      </c>
      <c r="L66">
        <v>1</v>
      </c>
      <c r="Q66">
        <f t="shared" si="1"/>
        <v>9</v>
      </c>
      <c r="R66" s="189">
        <f t="shared" si="2"/>
        <v>0</v>
      </c>
      <c r="S66" s="189">
        <f t="shared" si="4"/>
        <v>0.33333333333333331</v>
      </c>
      <c r="T66" s="189">
        <f t="shared" si="5"/>
        <v>0.1111111111111111</v>
      </c>
      <c r="U66" s="189">
        <f t="shared" si="6"/>
        <v>0</v>
      </c>
      <c r="V66" s="189">
        <f t="shared" si="7"/>
        <v>0</v>
      </c>
      <c r="W66" s="189">
        <f t="shared" si="8"/>
        <v>0</v>
      </c>
      <c r="X66" s="189">
        <f t="shared" si="9"/>
        <v>0.22222222222222221</v>
      </c>
      <c r="Y66" s="189">
        <f t="shared" si="10"/>
        <v>0</v>
      </c>
      <c r="Z66" s="189">
        <f t="shared" si="11"/>
        <v>0.22222222222222221</v>
      </c>
      <c r="AA66" s="189">
        <f t="shared" si="12"/>
        <v>0.1111111111111111</v>
      </c>
      <c r="AB66" s="189">
        <f t="shared" si="13"/>
        <v>0</v>
      </c>
      <c r="AC66" s="189">
        <f t="shared" si="14"/>
        <v>0</v>
      </c>
      <c r="AD66" s="189">
        <f t="shared" si="15"/>
        <v>0</v>
      </c>
      <c r="AE66" s="189">
        <f t="shared" si="16"/>
        <v>0</v>
      </c>
      <c r="AF66" s="189">
        <f t="shared" si="17"/>
        <v>4.7263942863144627E-4</v>
      </c>
      <c r="AG66" s="189">
        <f>town_establishments[[#This Row],[share of state establishments]]/($AF$250-$AF$249)</f>
        <v>4.8889130316692926E-4</v>
      </c>
      <c r="AH66" s="189">
        <f>town_establishments[[#This Row],[share of state establishments (no residual)]]/(INDEX(regional_establishments[share of state establishments],MATCH(town_establishments[[#This Row],[Regional Planning Commission]],regional_establishments[Regional Planning Commission],0)))</f>
        <v>1.1029411764705881E-2</v>
      </c>
    </row>
    <row r="67" spans="1:34" x14ac:dyDescent="0.25">
      <c r="A67" t="s">
        <v>277</v>
      </c>
      <c r="B67" t="str">
        <f>INDEX(town_population[Regional Planning Commission],MATCH(town_establishments[[#This Row],[Municipality]],town_population[Municipality],0))</f>
        <v>Lamoille County Planning Commission</v>
      </c>
      <c r="D67">
        <v>1</v>
      </c>
      <c r="I67">
        <v>3</v>
      </c>
      <c r="K67">
        <v>3</v>
      </c>
      <c r="L67">
        <v>1</v>
      </c>
      <c r="N67">
        <v>1</v>
      </c>
      <c r="O67">
        <v>1</v>
      </c>
      <c r="Q67">
        <f t="shared" si="1"/>
        <v>10</v>
      </c>
      <c r="R67" s="189">
        <f t="shared" si="2"/>
        <v>0</v>
      </c>
      <c r="S67" s="189">
        <f t="shared" si="4"/>
        <v>0.1</v>
      </c>
      <c r="T67" s="189">
        <f t="shared" si="5"/>
        <v>0</v>
      </c>
      <c r="U67" s="189">
        <f t="shared" si="6"/>
        <v>0</v>
      </c>
      <c r="V67" s="189">
        <f t="shared" si="7"/>
        <v>0</v>
      </c>
      <c r="W67" s="189">
        <f t="shared" si="8"/>
        <v>0</v>
      </c>
      <c r="X67" s="189">
        <f t="shared" si="9"/>
        <v>0.3</v>
      </c>
      <c r="Y67" s="189">
        <f t="shared" si="10"/>
        <v>0</v>
      </c>
      <c r="Z67" s="189">
        <f t="shared" si="11"/>
        <v>0.3</v>
      </c>
      <c r="AA67" s="189">
        <f t="shared" si="12"/>
        <v>0.1</v>
      </c>
      <c r="AB67" s="189">
        <f t="shared" si="13"/>
        <v>0</v>
      </c>
      <c r="AC67" s="189">
        <f t="shared" si="14"/>
        <v>0.1</v>
      </c>
      <c r="AD67" s="189">
        <f t="shared" si="15"/>
        <v>0.1</v>
      </c>
      <c r="AE67" s="189">
        <f t="shared" si="16"/>
        <v>0</v>
      </c>
      <c r="AF67" s="189">
        <f t="shared" si="17"/>
        <v>5.2515492070160698E-4</v>
      </c>
      <c r="AG67" s="189">
        <f>town_establishments[[#This Row],[share of state establishments]]/($AF$250-$AF$249)</f>
        <v>5.4321255907436574E-4</v>
      </c>
      <c r="AH67" s="189">
        <f>town_establishments[[#This Row],[share of state establishments (no residual)]]/(INDEX(regional_establishments[share of state establishments],MATCH(town_establishments[[#This Row],[Regional Planning Commission]],regional_establishments[Regional Planning Commission],0)))</f>
        <v>1.2254901960784312E-2</v>
      </c>
    </row>
    <row r="68" spans="1:34" x14ac:dyDescent="0.25">
      <c r="A68" t="s">
        <v>278</v>
      </c>
      <c r="B68" t="str">
        <f>INDEX(town_population[Regional Planning Commission],MATCH(town_establishments[[#This Row],[Municipality]],town_population[Municipality],0))</f>
        <v>Northwest Regional Planning Commission</v>
      </c>
      <c r="C68">
        <v>3</v>
      </c>
      <c r="D68">
        <v>23</v>
      </c>
      <c r="E68">
        <v>8</v>
      </c>
      <c r="F68">
        <v>1</v>
      </c>
      <c r="G68">
        <v>6</v>
      </c>
      <c r="H68">
        <v>1</v>
      </c>
      <c r="I68">
        <v>9</v>
      </c>
      <c r="K68">
        <v>4</v>
      </c>
      <c r="L68">
        <v>1</v>
      </c>
      <c r="M68">
        <v>6</v>
      </c>
      <c r="N68">
        <v>1</v>
      </c>
      <c r="O68">
        <v>10</v>
      </c>
      <c r="P68">
        <v>12</v>
      </c>
      <c r="Q68">
        <f t="shared" ref="Q68:Q131" si="18">SUM(C68:P68)</f>
        <v>85</v>
      </c>
      <c r="R68" s="189">
        <f t="shared" ref="R68:R131" si="19">IF($Q68&lt;&gt;0,C68/$Q68,0)</f>
        <v>3.5294117647058823E-2</v>
      </c>
      <c r="S68" s="189">
        <f t="shared" si="4"/>
        <v>0.27058823529411763</v>
      </c>
      <c r="T68" s="189">
        <f t="shared" si="5"/>
        <v>9.4117647058823528E-2</v>
      </c>
      <c r="U68" s="189">
        <f t="shared" si="6"/>
        <v>1.1764705882352941E-2</v>
      </c>
      <c r="V68" s="189">
        <f t="shared" si="7"/>
        <v>7.0588235294117646E-2</v>
      </c>
      <c r="W68" s="189">
        <f t="shared" si="8"/>
        <v>1.1764705882352941E-2</v>
      </c>
      <c r="X68" s="189">
        <f t="shared" si="9"/>
        <v>0.10588235294117647</v>
      </c>
      <c r="Y68" s="189">
        <f t="shared" si="10"/>
        <v>0</v>
      </c>
      <c r="Z68" s="189">
        <f t="shared" si="11"/>
        <v>4.7058823529411764E-2</v>
      </c>
      <c r="AA68" s="189">
        <f t="shared" si="12"/>
        <v>1.1764705882352941E-2</v>
      </c>
      <c r="AB68" s="189">
        <f t="shared" si="13"/>
        <v>7.0588235294117646E-2</v>
      </c>
      <c r="AC68" s="189">
        <f t="shared" si="14"/>
        <v>1.1764705882352941E-2</v>
      </c>
      <c r="AD68" s="189">
        <f t="shared" si="15"/>
        <v>0.11764705882352941</v>
      </c>
      <c r="AE68" s="189">
        <f t="shared" si="16"/>
        <v>0.14117647058823529</v>
      </c>
      <c r="AF68" s="189">
        <f t="shared" ref="AF68:AF131" si="20">Q68/Q$250</f>
        <v>4.4638168259636592E-3</v>
      </c>
      <c r="AG68" s="189">
        <f>town_establishments[[#This Row],[share of state establishments]]/($AF$250-$AF$249)</f>
        <v>4.617306752132109E-3</v>
      </c>
      <c r="AH68" s="189">
        <f>town_establishments[[#This Row],[share of state establishments (no residual)]]/(INDEX(regional_establishments[share of state establishments],MATCH(town_establishments[[#This Row],[Regional Planning Commission]],regional_establishments[Regional Planning Commission],0)))</f>
        <v>8.3170254403131125E-2</v>
      </c>
    </row>
    <row r="69" spans="1:34" x14ac:dyDescent="0.25">
      <c r="A69" t="s">
        <v>279</v>
      </c>
      <c r="B69" t="str">
        <f>INDEX(town_population[Regional Planning Commission],MATCH(town_establishments[[#This Row],[Municipality]],town_population[Municipality],0))</f>
        <v>Chittenden County Regional Planning Commission</v>
      </c>
      <c r="C69">
        <v>48</v>
      </c>
      <c r="D69">
        <v>96</v>
      </c>
      <c r="E69">
        <v>10</v>
      </c>
      <c r="F69">
        <v>9</v>
      </c>
      <c r="G69">
        <v>35</v>
      </c>
      <c r="H69">
        <v>23</v>
      </c>
      <c r="I69">
        <v>124</v>
      </c>
      <c r="J69">
        <v>4</v>
      </c>
      <c r="K69">
        <v>53</v>
      </c>
      <c r="L69">
        <v>15</v>
      </c>
      <c r="M69">
        <v>57</v>
      </c>
      <c r="N69">
        <v>21</v>
      </c>
      <c r="O69">
        <v>53</v>
      </c>
      <c r="P69">
        <v>78</v>
      </c>
      <c r="Q69">
        <f t="shared" si="18"/>
        <v>626</v>
      </c>
      <c r="R69" s="189">
        <f t="shared" si="19"/>
        <v>7.6677316293929709E-2</v>
      </c>
      <c r="S69" s="189">
        <f t="shared" si="4"/>
        <v>0.15335463258785942</v>
      </c>
      <c r="T69" s="189">
        <f t="shared" si="5"/>
        <v>1.5974440894568689E-2</v>
      </c>
      <c r="U69" s="189">
        <f t="shared" si="6"/>
        <v>1.437699680511182E-2</v>
      </c>
      <c r="V69" s="189">
        <f t="shared" si="7"/>
        <v>5.5910543130990413E-2</v>
      </c>
      <c r="W69" s="189">
        <f t="shared" si="8"/>
        <v>3.6741214057507986E-2</v>
      </c>
      <c r="X69" s="189">
        <f t="shared" si="9"/>
        <v>0.19808306709265175</v>
      </c>
      <c r="Y69" s="189">
        <f t="shared" si="10"/>
        <v>6.3897763578274758E-3</v>
      </c>
      <c r="Z69" s="189">
        <f t="shared" si="11"/>
        <v>8.4664536741214061E-2</v>
      </c>
      <c r="AA69" s="189">
        <f t="shared" si="12"/>
        <v>2.3961661341853034E-2</v>
      </c>
      <c r="AB69" s="189">
        <f t="shared" si="13"/>
        <v>9.1054313099041537E-2</v>
      </c>
      <c r="AC69" s="189">
        <f t="shared" si="14"/>
        <v>3.3546325878594248E-2</v>
      </c>
      <c r="AD69" s="189">
        <f t="shared" si="15"/>
        <v>8.4664536741214061E-2</v>
      </c>
      <c r="AE69" s="189">
        <f t="shared" si="16"/>
        <v>0.12460063897763578</v>
      </c>
      <c r="AF69" s="189">
        <f t="shared" si="20"/>
        <v>3.2874698035920594E-2</v>
      </c>
      <c r="AG69" s="189">
        <f>town_establishments[[#This Row],[share of state establishments]]/($AF$250-$AF$249)</f>
        <v>3.4005106198055295E-2</v>
      </c>
      <c r="AH69" s="189">
        <f>town_establishments[[#This Row],[share of state establishments (no residual)]]/(INDEX(regional_establishments[share of state establishments],MATCH(town_establishments[[#This Row],[Regional Planning Commission]],regional_establishments[Regional Planning Commission],0)))</f>
        <v>0.11551946853663038</v>
      </c>
    </row>
    <row r="70" spans="1:34" x14ac:dyDescent="0.25">
      <c r="A70" t="s">
        <v>280</v>
      </c>
      <c r="B70" t="str">
        <f>INDEX(town_population[Regional Planning Commission],MATCH(town_establishments[[#This Row],[Municipality]],town_population[Municipality],0))</f>
        <v>Rutland Regional Planning Commission</v>
      </c>
      <c r="C70">
        <v>4</v>
      </c>
      <c r="D70">
        <v>17</v>
      </c>
      <c r="E70">
        <v>2</v>
      </c>
      <c r="F70">
        <v>1</v>
      </c>
      <c r="G70">
        <v>8</v>
      </c>
      <c r="I70">
        <v>5</v>
      </c>
      <c r="J70">
        <v>1</v>
      </c>
      <c r="K70">
        <v>5</v>
      </c>
      <c r="L70">
        <v>1</v>
      </c>
      <c r="M70">
        <v>4</v>
      </c>
      <c r="O70">
        <v>9</v>
      </c>
      <c r="P70">
        <v>4</v>
      </c>
      <c r="Q70">
        <f t="shared" si="18"/>
        <v>61</v>
      </c>
      <c r="R70" s="189">
        <f t="shared" si="19"/>
        <v>6.5573770491803282E-2</v>
      </c>
      <c r="S70" s="189">
        <f t="shared" si="4"/>
        <v>0.27868852459016391</v>
      </c>
      <c r="T70" s="189">
        <f t="shared" si="5"/>
        <v>3.2786885245901641E-2</v>
      </c>
      <c r="U70" s="189">
        <f t="shared" si="6"/>
        <v>1.6393442622950821E-2</v>
      </c>
      <c r="V70" s="189">
        <f t="shared" si="7"/>
        <v>0.13114754098360656</v>
      </c>
      <c r="W70" s="189">
        <f t="shared" si="8"/>
        <v>0</v>
      </c>
      <c r="X70" s="189">
        <f t="shared" si="9"/>
        <v>8.1967213114754092E-2</v>
      </c>
      <c r="Y70" s="189">
        <f t="shared" si="10"/>
        <v>1.6393442622950821E-2</v>
      </c>
      <c r="Z70" s="189">
        <f t="shared" si="11"/>
        <v>8.1967213114754092E-2</v>
      </c>
      <c r="AA70" s="189">
        <f t="shared" si="12"/>
        <v>1.6393442622950821E-2</v>
      </c>
      <c r="AB70" s="189">
        <f t="shared" si="13"/>
        <v>6.5573770491803282E-2</v>
      </c>
      <c r="AC70" s="189">
        <f t="shared" si="14"/>
        <v>0</v>
      </c>
      <c r="AD70" s="189">
        <f t="shared" si="15"/>
        <v>0.14754098360655737</v>
      </c>
      <c r="AE70" s="189">
        <f t="shared" si="16"/>
        <v>6.5573770491803282E-2</v>
      </c>
      <c r="AF70" s="189">
        <f t="shared" si="20"/>
        <v>3.2034450162798027E-3</v>
      </c>
      <c r="AG70" s="189">
        <f>town_establishments[[#This Row],[share of state establishments]]/($AF$250-$AF$249)</f>
        <v>3.3135966103536316E-3</v>
      </c>
      <c r="AH70" s="189">
        <f>town_establishments[[#This Row],[share of state establishments (no residual)]]/(INDEX(regional_establishments[share of state establishments],MATCH(town_establishments[[#This Row],[Regional Planning Commission]],regional_establishments[Regional Planning Commission],0)))</f>
        <v>3.4308211473565803E-2</v>
      </c>
    </row>
    <row r="71" spans="1:34" x14ac:dyDescent="0.25">
      <c r="A71" t="s">
        <v>281</v>
      </c>
      <c r="B71" t="str">
        <f>INDEX(town_population[Regional Planning Commission],MATCH(town_establishments[[#This Row],[Municipality]],town_population[Municipality],0))</f>
        <v>Northwest Regional Planning Commission</v>
      </c>
      <c r="C71">
        <v>9</v>
      </c>
      <c r="D71">
        <v>8</v>
      </c>
      <c r="E71">
        <v>3</v>
      </c>
      <c r="F71">
        <v>1</v>
      </c>
      <c r="G71">
        <v>4</v>
      </c>
      <c r="H71">
        <v>3</v>
      </c>
      <c r="I71">
        <v>13</v>
      </c>
      <c r="K71">
        <v>4</v>
      </c>
      <c r="L71">
        <v>3</v>
      </c>
      <c r="M71">
        <v>6</v>
      </c>
      <c r="O71">
        <v>2</v>
      </c>
      <c r="P71">
        <v>7</v>
      </c>
      <c r="Q71">
        <f t="shared" si="18"/>
        <v>63</v>
      </c>
      <c r="R71" s="189">
        <f t="shared" si="19"/>
        <v>0.14285714285714285</v>
      </c>
      <c r="S71" s="189">
        <f t="shared" si="4"/>
        <v>0.12698412698412698</v>
      </c>
      <c r="T71" s="189">
        <f t="shared" si="5"/>
        <v>4.7619047619047616E-2</v>
      </c>
      <c r="U71" s="189">
        <f t="shared" si="6"/>
        <v>1.5873015873015872E-2</v>
      </c>
      <c r="V71" s="189">
        <f t="shared" si="7"/>
        <v>6.3492063492063489E-2</v>
      </c>
      <c r="W71" s="189">
        <f t="shared" si="8"/>
        <v>4.7619047619047616E-2</v>
      </c>
      <c r="X71" s="189">
        <f t="shared" si="9"/>
        <v>0.20634920634920634</v>
      </c>
      <c r="Y71" s="189">
        <f t="shared" si="10"/>
        <v>0</v>
      </c>
      <c r="Z71" s="189">
        <f t="shared" si="11"/>
        <v>6.3492063492063489E-2</v>
      </c>
      <c r="AA71" s="189">
        <f t="shared" si="12"/>
        <v>4.7619047619047616E-2</v>
      </c>
      <c r="AB71" s="189">
        <f t="shared" si="13"/>
        <v>9.5238095238095233E-2</v>
      </c>
      <c r="AC71" s="189">
        <f t="shared" si="14"/>
        <v>0</v>
      </c>
      <c r="AD71" s="189">
        <f t="shared" si="15"/>
        <v>3.1746031746031744E-2</v>
      </c>
      <c r="AE71" s="189">
        <f t="shared" si="16"/>
        <v>0.1111111111111111</v>
      </c>
      <c r="AF71" s="189">
        <f t="shared" si="20"/>
        <v>3.3084760004201239E-3</v>
      </c>
      <c r="AG71" s="189">
        <f>town_establishments[[#This Row],[share of state establishments]]/($AF$250-$AF$249)</f>
        <v>3.4222391221685046E-3</v>
      </c>
      <c r="AH71" s="189">
        <f>town_establishments[[#This Row],[share of state establishments (no residual)]]/(INDEX(regional_establishments[share of state establishments],MATCH(town_establishments[[#This Row],[Regional Planning Commission]],regional_establishments[Regional Planning Commission],0)))</f>
        <v>6.164383561643836E-2</v>
      </c>
    </row>
    <row r="72" spans="1:34" x14ac:dyDescent="0.25">
      <c r="A72" t="s">
        <v>282</v>
      </c>
      <c r="B72" t="str">
        <f>INDEX(town_population[Regional Planning Commission],MATCH(town_establishments[[#This Row],[Municipality]],town_population[Municipality],0))</f>
        <v>Northwest Regional Planning Commission</v>
      </c>
      <c r="C72">
        <v>3</v>
      </c>
      <c r="D72">
        <v>1</v>
      </c>
      <c r="E72">
        <v>3</v>
      </c>
      <c r="G72">
        <v>1</v>
      </c>
      <c r="I72">
        <v>2</v>
      </c>
      <c r="J72">
        <v>1</v>
      </c>
      <c r="K72">
        <v>1</v>
      </c>
      <c r="L72">
        <v>2</v>
      </c>
      <c r="M72">
        <v>2</v>
      </c>
      <c r="P72">
        <v>2</v>
      </c>
      <c r="Q72">
        <f t="shared" si="18"/>
        <v>18</v>
      </c>
      <c r="R72" s="189">
        <f t="shared" si="19"/>
        <v>0.16666666666666666</v>
      </c>
      <c r="S72" s="189">
        <f t="shared" si="4"/>
        <v>5.5555555555555552E-2</v>
      </c>
      <c r="T72" s="189">
        <f t="shared" si="5"/>
        <v>0.16666666666666666</v>
      </c>
      <c r="U72" s="189">
        <f t="shared" si="6"/>
        <v>0</v>
      </c>
      <c r="V72" s="189">
        <f t="shared" si="7"/>
        <v>5.5555555555555552E-2</v>
      </c>
      <c r="W72" s="189">
        <f t="shared" si="8"/>
        <v>0</v>
      </c>
      <c r="X72" s="189">
        <f t="shared" si="9"/>
        <v>0.1111111111111111</v>
      </c>
      <c r="Y72" s="189">
        <f t="shared" si="10"/>
        <v>5.5555555555555552E-2</v>
      </c>
      <c r="Z72" s="189">
        <f t="shared" si="11"/>
        <v>5.5555555555555552E-2</v>
      </c>
      <c r="AA72" s="189">
        <f t="shared" si="12"/>
        <v>0.1111111111111111</v>
      </c>
      <c r="AB72" s="189">
        <f t="shared" si="13"/>
        <v>0.1111111111111111</v>
      </c>
      <c r="AC72" s="189">
        <f t="shared" si="14"/>
        <v>0</v>
      </c>
      <c r="AD72" s="189">
        <f t="shared" si="15"/>
        <v>0</v>
      </c>
      <c r="AE72" s="189">
        <f t="shared" si="16"/>
        <v>0.1111111111111111</v>
      </c>
      <c r="AF72" s="189">
        <f t="shared" si="20"/>
        <v>9.4527885726289253E-4</v>
      </c>
      <c r="AG72" s="189">
        <f>town_establishments[[#This Row],[share of state establishments]]/($AF$250-$AF$249)</f>
        <v>9.7778260633385851E-4</v>
      </c>
      <c r="AH72" s="189">
        <f>town_establishments[[#This Row],[share of state establishments (no residual)]]/(INDEX(regional_establishments[share of state establishments],MATCH(town_establishments[[#This Row],[Regional Planning Commission]],regional_establishments[Regional Planning Commission],0)))</f>
        <v>1.7612524461839533E-2</v>
      </c>
    </row>
    <row r="73" spans="1:34" x14ac:dyDescent="0.25">
      <c r="A73" t="s">
        <v>283</v>
      </c>
      <c r="B73" t="str">
        <f>INDEX(town_population[Regional Planning Commission],MATCH(town_establishments[[#This Row],[Municipality]],town_population[Municipality],0))</f>
        <v>Two Rivers-Ottauquechee Regional Commission</v>
      </c>
      <c r="C73">
        <v>3</v>
      </c>
      <c r="D73">
        <v>11</v>
      </c>
      <c r="E73">
        <v>4</v>
      </c>
      <c r="G73">
        <v>1</v>
      </c>
      <c r="I73">
        <v>8</v>
      </c>
      <c r="K73">
        <v>2</v>
      </c>
      <c r="L73">
        <v>1</v>
      </c>
      <c r="M73">
        <v>4</v>
      </c>
      <c r="O73">
        <v>8</v>
      </c>
      <c r="P73">
        <v>5</v>
      </c>
      <c r="Q73">
        <f t="shared" si="18"/>
        <v>47</v>
      </c>
      <c r="R73" s="189">
        <f t="shared" si="19"/>
        <v>6.3829787234042548E-2</v>
      </c>
      <c r="S73" s="189">
        <f t="shared" si="4"/>
        <v>0.23404255319148937</v>
      </c>
      <c r="T73" s="189">
        <f t="shared" si="5"/>
        <v>8.5106382978723402E-2</v>
      </c>
      <c r="U73" s="189">
        <f t="shared" si="6"/>
        <v>0</v>
      </c>
      <c r="V73" s="189">
        <f t="shared" si="7"/>
        <v>2.1276595744680851E-2</v>
      </c>
      <c r="W73" s="189">
        <f t="shared" si="8"/>
        <v>0</v>
      </c>
      <c r="X73" s="189">
        <f t="shared" si="9"/>
        <v>0.1702127659574468</v>
      </c>
      <c r="Y73" s="189">
        <f t="shared" si="10"/>
        <v>0</v>
      </c>
      <c r="Z73" s="189">
        <f t="shared" si="11"/>
        <v>4.2553191489361701E-2</v>
      </c>
      <c r="AA73" s="189">
        <f t="shared" si="12"/>
        <v>2.1276595744680851E-2</v>
      </c>
      <c r="AB73" s="189">
        <f t="shared" si="13"/>
        <v>8.5106382978723402E-2</v>
      </c>
      <c r="AC73" s="189">
        <f t="shared" si="14"/>
        <v>0</v>
      </c>
      <c r="AD73" s="189">
        <f t="shared" si="15"/>
        <v>0.1702127659574468</v>
      </c>
      <c r="AE73" s="189">
        <f t="shared" si="16"/>
        <v>0.10638297872340426</v>
      </c>
      <c r="AF73" s="189">
        <f t="shared" si="20"/>
        <v>2.468228127297553E-3</v>
      </c>
      <c r="AG73" s="189">
        <f>town_establishments[[#This Row],[share of state establishments]]/($AF$250-$AF$249)</f>
        <v>2.5530990276495195E-3</v>
      </c>
      <c r="AH73" s="189">
        <f>town_establishments[[#This Row],[share of state establishments (no residual)]]/(INDEX(regional_establishments[share of state establishments],MATCH(town_establishments[[#This Row],[Regional Planning Commission]],regional_establishments[Regional Planning Commission],0)))</f>
        <v>2.9012345679012352E-2</v>
      </c>
    </row>
    <row r="74" spans="1:34" x14ac:dyDescent="0.25">
      <c r="A74" t="s">
        <v>284</v>
      </c>
      <c r="B74" t="str">
        <f>INDEX(town_population[Regional Planning Commission],MATCH(town_establishments[[#This Row],[Municipality]],town_population[Municipality],0))</f>
        <v>Central Vermont Regional Planning Commission</v>
      </c>
      <c r="C74">
        <v>3</v>
      </c>
      <c r="E74">
        <v>0</v>
      </c>
      <c r="F74">
        <v>1</v>
      </c>
      <c r="G74">
        <v>1</v>
      </c>
      <c r="I74">
        <v>9</v>
      </c>
      <c r="K74">
        <v>3</v>
      </c>
      <c r="L74">
        <v>2</v>
      </c>
      <c r="N74">
        <v>1</v>
      </c>
      <c r="O74">
        <v>4</v>
      </c>
      <c r="P74">
        <v>3</v>
      </c>
      <c r="Q74">
        <f t="shared" si="18"/>
        <v>27</v>
      </c>
      <c r="R74" s="189">
        <f t="shared" si="19"/>
        <v>0.1111111111111111</v>
      </c>
      <c r="S74" s="189">
        <f t="shared" si="4"/>
        <v>0</v>
      </c>
      <c r="T74" s="189">
        <f t="shared" si="5"/>
        <v>0</v>
      </c>
      <c r="U74" s="189">
        <f t="shared" si="6"/>
        <v>3.7037037037037035E-2</v>
      </c>
      <c r="V74" s="189">
        <f t="shared" si="7"/>
        <v>3.7037037037037035E-2</v>
      </c>
      <c r="W74" s="189">
        <f t="shared" si="8"/>
        <v>0</v>
      </c>
      <c r="X74" s="189">
        <f t="shared" si="9"/>
        <v>0.33333333333333331</v>
      </c>
      <c r="Y74" s="189">
        <f t="shared" si="10"/>
        <v>0</v>
      </c>
      <c r="Z74" s="189">
        <f t="shared" si="11"/>
        <v>0.1111111111111111</v>
      </c>
      <c r="AA74" s="189">
        <f t="shared" si="12"/>
        <v>7.407407407407407E-2</v>
      </c>
      <c r="AB74" s="189">
        <f t="shared" si="13"/>
        <v>0</v>
      </c>
      <c r="AC74" s="189">
        <f t="shared" si="14"/>
        <v>3.7037037037037035E-2</v>
      </c>
      <c r="AD74" s="189">
        <f t="shared" si="15"/>
        <v>0.14814814814814814</v>
      </c>
      <c r="AE74" s="189">
        <f t="shared" si="16"/>
        <v>0.1111111111111111</v>
      </c>
      <c r="AF74" s="189">
        <f t="shared" si="20"/>
        <v>1.4179182858943388E-3</v>
      </c>
      <c r="AG74" s="189">
        <f>town_establishments[[#This Row],[share of state establishments]]/($AF$250-$AF$249)</f>
        <v>1.4666739095007876E-3</v>
      </c>
      <c r="AH74" s="189">
        <f>town_establishments[[#This Row],[share of state establishments (no residual)]]/(INDEX(regional_establishments[share of state establishments],MATCH(town_establishments[[#This Row],[Regional Planning Commission]],regional_establishments[Regional Planning Commission],0)))</f>
        <v>1.3307047806801378E-2</v>
      </c>
    </row>
    <row r="75" spans="1:34" x14ac:dyDescent="0.25">
      <c r="A75" t="s">
        <v>286</v>
      </c>
      <c r="B75" t="str">
        <f>INDEX(town_population[Regional Planning Commission],MATCH(town_establishments[[#This Row],[Municipality]],town_population[Municipality],0))</f>
        <v>Addison County Regional Planning Commission</v>
      </c>
      <c r="C75">
        <v>2</v>
      </c>
      <c r="D75">
        <v>12</v>
      </c>
      <c r="E75">
        <v>3</v>
      </c>
      <c r="F75">
        <v>0</v>
      </c>
      <c r="I75">
        <v>10</v>
      </c>
      <c r="K75">
        <v>6</v>
      </c>
      <c r="L75">
        <v>1</v>
      </c>
      <c r="M75">
        <v>1</v>
      </c>
      <c r="N75">
        <v>2</v>
      </c>
      <c r="O75">
        <v>4</v>
      </c>
      <c r="P75">
        <v>3</v>
      </c>
      <c r="Q75">
        <f t="shared" si="18"/>
        <v>44</v>
      </c>
      <c r="R75" s="189">
        <f t="shared" si="19"/>
        <v>4.5454545454545456E-2</v>
      </c>
      <c r="S75" s="189">
        <f t="shared" si="4"/>
        <v>0.27272727272727271</v>
      </c>
      <c r="T75" s="189">
        <f t="shared" si="5"/>
        <v>6.8181818181818177E-2</v>
      </c>
      <c r="U75" s="189">
        <f t="shared" si="6"/>
        <v>0</v>
      </c>
      <c r="V75" s="189">
        <f t="shared" si="7"/>
        <v>0</v>
      </c>
      <c r="W75" s="189">
        <f t="shared" si="8"/>
        <v>0</v>
      </c>
      <c r="X75" s="189">
        <f t="shared" si="9"/>
        <v>0.22727272727272727</v>
      </c>
      <c r="Y75" s="189">
        <f t="shared" si="10"/>
        <v>0</v>
      </c>
      <c r="Z75" s="189">
        <f t="shared" si="11"/>
        <v>0.13636363636363635</v>
      </c>
      <c r="AA75" s="189">
        <f t="shared" si="12"/>
        <v>2.2727272727272728E-2</v>
      </c>
      <c r="AB75" s="189">
        <f t="shared" si="13"/>
        <v>2.2727272727272728E-2</v>
      </c>
      <c r="AC75" s="189">
        <f t="shared" si="14"/>
        <v>4.5454545454545456E-2</v>
      </c>
      <c r="AD75" s="189">
        <f t="shared" si="15"/>
        <v>9.0909090909090912E-2</v>
      </c>
      <c r="AE75" s="189">
        <f t="shared" si="16"/>
        <v>6.8181818181818177E-2</v>
      </c>
      <c r="AF75" s="189">
        <f t="shared" si="20"/>
        <v>2.3106816510870707E-3</v>
      </c>
      <c r="AG75" s="189">
        <f>town_establishments[[#This Row],[share of state establishments]]/($AF$250-$AF$249)</f>
        <v>2.3901352599272094E-3</v>
      </c>
      <c r="AH75" s="189">
        <f>town_establishments[[#This Row],[share of state establishments (no residual)]]/(INDEX(regional_establishments[share of state establishments],MATCH(town_establishments[[#This Row],[Regional Planning Commission]],regional_establishments[Regional Planning Commission],0)))</f>
        <v>4.7008547008547008E-2</v>
      </c>
    </row>
    <row r="76" spans="1:34" x14ac:dyDescent="0.25">
      <c r="A76" t="s">
        <v>287</v>
      </c>
      <c r="B76" t="str">
        <f>INDEX(town_population[Regional Planning Commission],MATCH(town_establishments[[#This Row],[Municipality]],town_population[Municipality],0))</f>
        <v>Northwest Regional Planning Commission</v>
      </c>
      <c r="C76">
        <v>1</v>
      </c>
      <c r="D76">
        <v>1</v>
      </c>
      <c r="L76">
        <v>1</v>
      </c>
      <c r="O76">
        <v>1</v>
      </c>
      <c r="Q76">
        <f t="shared" si="18"/>
        <v>4</v>
      </c>
      <c r="R76" s="189">
        <f t="shared" si="19"/>
        <v>0.25</v>
      </c>
      <c r="S76" s="189">
        <f t="shared" si="4"/>
        <v>0.25</v>
      </c>
      <c r="T76" s="189">
        <f t="shared" si="5"/>
        <v>0</v>
      </c>
      <c r="U76" s="189">
        <f t="shared" si="6"/>
        <v>0</v>
      </c>
      <c r="V76" s="189">
        <f t="shared" si="7"/>
        <v>0</v>
      </c>
      <c r="W76" s="189">
        <f t="shared" si="8"/>
        <v>0</v>
      </c>
      <c r="X76" s="189">
        <f t="shared" si="9"/>
        <v>0</v>
      </c>
      <c r="Y76" s="189">
        <f t="shared" si="10"/>
        <v>0</v>
      </c>
      <c r="Z76" s="189">
        <f t="shared" si="11"/>
        <v>0</v>
      </c>
      <c r="AA76" s="189">
        <f t="shared" si="12"/>
        <v>0.25</v>
      </c>
      <c r="AB76" s="189">
        <f t="shared" si="13"/>
        <v>0</v>
      </c>
      <c r="AC76" s="189">
        <f t="shared" si="14"/>
        <v>0</v>
      </c>
      <c r="AD76" s="189">
        <f t="shared" si="15"/>
        <v>0.25</v>
      </c>
      <c r="AE76" s="189">
        <f t="shared" si="16"/>
        <v>0</v>
      </c>
      <c r="AF76" s="189">
        <f t="shared" si="20"/>
        <v>2.1006196828064278E-4</v>
      </c>
      <c r="AG76" s="189">
        <f>town_establishments[[#This Row],[share of state establishments]]/($AF$250-$AF$249)</f>
        <v>2.172850236297463E-4</v>
      </c>
      <c r="AH76" s="189">
        <f>town_establishments[[#This Row],[share of state establishments (no residual)]]/(INDEX(regional_establishments[share of state establishments],MATCH(town_establishments[[#This Row],[Regional Planning Commission]],regional_establishments[Regional Planning Commission],0)))</f>
        <v>3.9138943248532287E-3</v>
      </c>
    </row>
    <row r="77" spans="1:34" x14ac:dyDescent="0.25">
      <c r="A77" t="s">
        <v>288</v>
      </c>
      <c r="B77" t="str">
        <f>INDEX(town_population[Regional Planning Commission],MATCH(town_establishments[[#This Row],[Municipality]],town_population[Municipality],0))</f>
        <v>Northwest Regional Planning Commission</v>
      </c>
      <c r="C77">
        <v>2</v>
      </c>
      <c r="D77">
        <v>2</v>
      </c>
      <c r="E77">
        <v>3</v>
      </c>
      <c r="F77">
        <v>1</v>
      </c>
      <c r="H77">
        <v>1</v>
      </c>
      <c r="I77">
        <v>2</v>
      </c>
      <c r="L77">
        <v>1</v>
      </c>
      <c r="M77">
        <v>1</v>
      </c>
      <c r="Q77">
        <f t="shared" si="18"/>
        <v>13</v>
      </c>
      <c r="R77" s="189">
        <f t="shared" si="19"/>
        <v>0.15384615384615385</v>
      </c>
      <c r="S77" s="189">
        <f t="shared" si="4"/>
        <v>0.15384615384615385</v>
      </c>
      <c r="T77" s="189">
        <f t="shared" si="5"/>
        <v>0.23076923076923078</v>
      </c>
      <c r="U77" s="189">
        <f t="shared" si="6"/>
        <v>7.6923076923076927E-2</v>
      </c>
      <c r="V77" s="189">
        <f t="shared" si="7"/>
        <v>0</v>
      </c>
      <c r="W77" s="189">
        <f t="shared" si="8"/>
        <v>7.6923076923076927E-2</v>
      </c>
      <c r="X77" s="189">
        <f t="shared" si="9"/>
        <v>0.15384615384615385</v>
      </c>
      <c r="Y77" s="189">
        <f t="shared" si="10"/>
        <v>0</v>
      </c>
      <c r="Z77" s="189">
        <f t="shared" si="11"/>
        <v>0</v>
      </c>
      <c r="AA77" s="189">
        <f t="shared" si="12"/>
        <v>7.6923076923076927E-2</v>
      </c>
      <c r="AB77" s="189">
        <f t="shared" si="13"/>
        <v>7.6923076923076927E-2</v>
      </c>
      <c r="AC77" s="189">
        <f t="shared" si="14"/>
        <v>0</v>
      </c>
      <c r="AD77" s="189">
        <f t="shared" si="15"/>
        <v>0</v>
      </c>
      <c r="AE77" s="189">
        <f t="shared" si="16"/>
        <v>0</v>
      </c>
      <c r="AF77" s="189">
        <f t="shared" si="20"/>
        <v>6.827013969120891E-4</v>
      </c>
      <c r="AG77" s="189">
        <f>town_establishments[[#This Row],[share of state establishments]]/($AF$250-$AF$249)</f>
        <v>7.0617632679667553E-4</v>
      </c>
      <c r="AH77" s="189">
        <f>town_establishments[[#This Row],[share of state establishments (no residual)]]/(INDEX(regional_establishments[share of state establishments],MATCH(town_establishments[[#This Row],[Regional Planning Commission]],regional_establishments[Regional Planning Commission],0)))</f>
        <v>1.2720156555772995E-2</v>
      </c>
    </row>
    <row r="78" spans="1:34" x14ac:dyDescent="0.25">
      <c r="A78" t="s">
        <v>289</v>
      </c>
      <c r="B78" t="str">
        <f>INDEX(town_population[Regional Planning Commission],MATCH(town_establishments[[#This Row],[Municipality]],town_population[Municipality],0))</f>
        <v>Northwest Regional Planning Commission</v>
      </c>
      <c r="C78">
        <v>4</v>
      </c>
      <c r="D78">
        <v>7</v>
      </c>
      <c r="E78">
        <v>2</v>
      </c>
      <c r="G78">
        <v>2</v>
      </c>
      <c r="H78">
        <v>1</v>
      </c>
      <c r="I78">
        <v>3</v>
      </c>
      <c r="K78">
        <v>3</v>
      </c>
      <c r="L78">
        <v>1</v>
      </c>
      <c r="M78">
        <v>3</v>
      </c>
      <c r="N78">
        <v>1</v>
      </c>
      <c r="O78">
        <v>2</v>
      </c>
      <c r="P78">
        <v>6</v>
      </c>
      <c r="Q78">
        <f t="shared" si="18"/>
        <v>35</v>
      </c>
      <c r="R78" s="189">
        <f t="shared" si="19"/>
        <v>0.11428571428571428</v>
      </c>
      <c r="S78" s="189">
        <f t="shared" si="4"/>
        <v>0.2</v>
      </c>
      <c r="T78" s="189">
        <f t="shared" si="5"/>
        <v>5.7142857142857141E-2</v>
      </c>
      <c r="U78" s="189">
        <f t="shared" si="6"/>
        <v>0</v>
      </c>
      <c r="V78" s="189">
        <f t="shared" si="7"/>
        <v>5.7142857142857141E-2</v>
      </c>
      <c r="W78" s="189">
        <f t="shared" si="8"/>
        <v>2.8571428571428571E-2</v>
      </c>
      <c r="X78" s="189">
        <f t="shared" si="9"/>
        <v>8.5714285714285715E-2</v>
      </c>
      <c r="Y78" s="189">
        <f t="shared" si="10"/>
        <v>0</v>
      </c>
      <c r="Z78" s="189">
        <f t="shared" si="11"/>
        <v>8.5714285714285715E-2</v>
      </c>
      <c r="AA78" s="189">
        <f t="shared" si="12"/>
        <v>2.8571428571428571E-2</v>
      </c>
      <c r="AB78" s="189">
        <f t="shared" si="13"/>
        <v>8.5714285714285715E-2</v>
      </c>
      <c r="AC78" s="189">
        <f t="shared" si="14"/>
        <v>2.8571428571428571E-2</v>
      </c>
      <c r="AD78" s="189">
        <f t="shared" si="15"/>
        <v>5.7142857142857141E-2</v>
      </c>
      <c r="AE78" s="189">
        <f t="shared" si="16"/>
        <v>0.17142857142857143</v>
      </c>
      <c r="AF78" s="189">
        <f t="shared" si="20"/>
        <v>1.8380422224556245E-3</v>
      </c>
      <c r="AG78" s="189">
        <f>town_establishments[[#This Row],[share of state establishments]]/($AF$250-$AF$249)</f>
        <v>1.9012439567602803E-3</v>
      </c>
      <c r="AH78" s="189">
        <f>town_establishments[[#This Row],[share of state establishments (no residual)]]/(INDEX(regional_establishments[share of state establishments],MATCH(town_establishments[[#This Row],[Regional Planning Commission]],regional_establishments[Regional Planning Commission],0)))</f>
        <v>3.4246575342465758E-2</v>
      </c>
    </row>
    <row r="79" spans="1:34" x14ac:dyDescent="0.25">
      <c r="A79" t="s">
        <v>291</v>
      </c>
      <c r="B79" t="str">
        <f>INDEX(town_population[Regional Planning Commission],MATCH(town_establishments[[#This Row],[Municipality]],town_population[Municipality],0))</f>
        <v>Northeastern Vermont Development Association</v>
      </c>
      <c r="D79">
        <v>3</v>
      </c>
      <c r="I79">
        <v>1</v>
      </c>
      <c r="K79">
        <v>1</v>
      </c>
      <c r="L79">
        <v>1</v>
      </c>
      <c r="M79">
        <v>2</v>
      </c>
      <c r="N79">
        <v>1</v>
      </c>
      <c r="O79">
        <v>1</v>
      </c>
      <c r="P79">
        <v>2</v>
      </c>
      <c r="Q79">
        <f t="shared" si="18"/>
        <v>12</v>
      </c>
      <c r="R79" s="189">
        <f t="shared" si="19"/>
        <v>0</v>
      </c>
      <c r="S79" s="189">
        <f t="shared" si="4"/>
        <v>0.25</v>
      </c>
      <c r="T79" s="189">
        <f t="shared" si="5"/>
        <v>0</v>
      </c>
      <c r="U79" s="189">
        <f t="shared" si="6"/>
        <v>0</v>
      </c>
      <c r="V79" s="189">
        <f t="shared" si="7"/>
        <v>0</v>
      </c>
      <c r="W79" s="189">
        <f t="shared" si="8"/>
        <v>0</v>
      </c>
      <c r="X79" s="189">
        <f t="shared" si="9"/>
        <v>8.3333333333333329E-2</v>
      </c>
      <c r="Y79" s="189">
        <f t="shared" si="10"/>
        <v>0</v>
      </c>
      <c r="Z79" s="189">
        <f t="shared" si="11"/>
        <v>8.3333333333333329E-2</v>
      </c>
      <c r="AA79" s="189">
        <f t="shared" si="12"/>
        <v>8.3333333333333329E-2</v>
      </c>
      <c r="AB79" s="189">
        <f t="shared" si="13"/>
        <v>0.16666666666666666</v>
      </c>
      <c r="AC79" s="189">
        <f t="shared" si="14"/>
        <v>8.3333333333333329E-2</v>
      </c>
      <c r="AD79" s="189">
        <f t="shared" si="15"/>
        <v>8.3333333333333329E-2</v>
      </c>
      <c r="AE79" s="189">
        <f t="shared" si="16"/>
        <v>0.16666666666666666</v>
      </c>
      <c r="AF79" s="189">
        <f t="shared" si="20"/>
        <v>6.3018590484192839E-4</v>
      </c>
      <c r="AG79" s="189">
        <f>town_establishments[[#This Row],[share of state establishments]]/($AF$250-$AF$249)</f>
        <v>6.5185507088923894E-4</v>
      </c>
      <c r="AH79" s="189">
        <f>town_establishments[[#This Row],[share of state establishments (no residual)]]/(INDEX(regional_establishments[share of state establishments],MATCH(town_establishments[[#This Row],[Regional Planning Commission]],regional_establishments[Regional Planning Commission],0)))</f>
        <v>8.2248115147361203E-3</v>
      </c>
    </row>
    <row r="80" spans="1:34" x14ac:dyDescent="0.25">
      <c r="A80" t="s">
        <v>292</v>
      </c>
      <c r="B80" t="str">
        <f>INDEX(town_population[Regional Planning Commission],MATCH(town_establishments[[#This Row],[Municipality]],town_population[Municipality],0))</f>
        <v>Addison County Regional Planning Commission</v>
      </c>
      <c r="H80">
        <v>1</v>
      </c>
      <c r="M80">
        <v>0</v>
      </c>
      <c r="O80">
        <v>1</v>
      </c>
      <c r="Q80">
        <f t="shared" si="18"/>
        <v>2</v>
      </c>
      <c r="R80" s="189">
        <f t="shared" si="19"/>
        <v>0</v>
      </c>
      <c r="S80" s="189">
        <f t="shared" si="4"/>
        <v>0</v>
      </c>
      <c r="T80" s="189">
        <f t="shared" si="5"/>
        <v>0</v>
      </c>
      <c r="U80" s="189">
        <f t="shared" si="6"/>
        <v>0</v>
      </c>
      <c r="V80" s="189">
        <f t="shared" si="7"/>
        <v>0</v>
      </c>
      <c r="W80" s="189">
        <f t="shared" si="8"/>
        <v>0.5</v>
      </c>
      <c r="X80" s="189">
        <f t="shared" si="9"/>
        <v>0</v>
      </c>
      <c r="Y80" s="189">
        <f t="shared" si="10"/>
        <v>0</v>
      </c>
      <c r="Z80" s="189">
        <f t="shared" si="11"/>
        <v>0</v>
      </c>
      <c r="AA80" s="189">
        <f t="shared" si="12"/>
        <v>0</v>
      </c>
      <c r="AB80" s="189">
        <f t="shared" si="13"/>
        <v>0</v>
      </c>
      <c r="AC80" s="189">
        <f t="shared" si="14"/>
        <v>0</v>
      </c>
      <c r="AD80" s="189">
        <f t="shared" si="15"/>
        <v>0.5</v>
      </c>
      <c r="AE80" s="189">
        <f t="shared" si="16"/>
        <v>0</v>
      </c>
      <c r="AF80" s="189">
        <f t="shared" si="20"/>
        <v>1.0503098414032139E-4</v>
      </c>
      <c r="AG80" s="189">
        <f>town_establishments[[#This Row],[share of state establishments]]/($AF$250-$AF$249)</f>
        <v>1.0864251181487315E-4</v>
      </c>
      <c r="AH80" s="189">
        <f>town_establishments[[#This Row],[share of state establishments (no residual)]]/(INDEX(regional_establishments[share of state establishments],MATCH(town_establishments[[#This Row],[Regional Planning Commission]],regional_establishments[Regional Planning Commission],0)))</f>
        <v>2.136752136752137E-3</v>
      </c>
    </row>
    <row r="81" spans="1:34" x14ac:dyDescent="0.25">
      <c r="A81" t="s">
        <v>293</v>
      </c>
      <c r="B81" t="str">
        <f>INDEX(town_population[Regional Planning Commission],MATCH(town_establishments[[#This Row],[Municipality]],town_population[Municipality],0))</f>
        <v>Windham Regional Commission</v>
      </c>
      <c r="C81">
        <v>1</v>
      </c>
      <c r="D81">
        <v>2</v>
      </c>
      <c r="E81">
        <v>1</v>
      </c>
      <c r="G81">
        <v>1</v>
      </c>
      <c r="I81">
        <v>2</v>
      </c>
      <c r="K81">
        <v>4</v>
      </c>
      <c r="L81">
        <v>1</v>
      </c>
      <c r="N81">
        <v>1</v>
      </c>
      <c r="O81">
        <v>2</v>
      </c>
      <c r="P81">
        <v>4</v>
      </c>
      <c r="Q81">
        <f t="shared" si="18"/>
        <v>19</v>
      </c>
      <c r="R81" s="189">
        <f t="shared" si="19"/>
        <v>5.2631578947368418E-2</v>
      </c>
      <c r="S81" s="189">
        <f t="shared" si="4"/>
        <v>0.10526315789473684</v>
      </c>
      <c r="T81" s="189">
        <f t="shared" si="5"/>
        <v>5.2631578947368418E-2</v>
      </c>
      <c r="U81" s="189">
        <f t="shared" si="6"/>
        <v>0</v>
      </c>
      <c r="V81" s="189">
        <f t="shared" si="7"/>
        <v>5.2631578947368418E-2</v>
      </c>
      <c r="W81" s="189">
        <f t="shared" si="8"/>
        <v>0</v>
      </c>
      <c r="X81" s="189">
        <f t="shared" si="9"/>
        <v>0.10526315789473684</v>
      </c>
      <c r="Y81" s="189">
        <f t="shared" si="10"/>
        <v>0</v>
      </c>
      <c r="Z81" s="189">
        <f t="shared" si="11"/>
        <v>0.21052631578947367</v>
      </c>
      <c r="AA81" s="189">
        <f t="shared" si="12"/>
        <v>5.2631578947368418E-2</v>
      </c>
      <c r="AB81" s="189">
        <f t="shared" si="13"/>
        <v>0</v>
      </c>
      <c r="AC81" s="189">
        <f t="shared" si="14"/>
        <v>5.2631578947368418E-2</v>
      </c>
      <c r="AD81" s="189">
        <f t="shared" si="15"/>
        <v>0.10526315789473684</v>
      </c>
      <c r="AE81" s="189">
        <f t="shared" si="16"/>
        <v>0.21052631578947367</v>
      </c>
      <c r="AF81" s="189">
        <f t="shared" si="20"/>
        <v>9.9779434933305335E-4</v>
      </c>
      <c r="AG81" s="189">
        <f>town_establishments[[#This Row],[share of state establishments]]/($AF$250-$AF$249)</f>
        <v>1.0321038622412952E-3</v>
      </c>
      <c r="AH81" s="189">
        <f>town_establishments[[#This Row],[share of state establishments (no residual)]]/(INDEX(regional_establishments[share of state establishments],MATCH(town_establishments[[#This Row],[Regional Planning Commission]],regional_establishments[Regional Planning Commission],0)))</f>
        <v>1.2234385061171927E-2</v>
      </c>
    </row>
    <row r="82" spans="1:34" x14ac:dyDescent="0.25">
      <c r="A82" t="s">
        <v>294</v>
      </c>
      <c r="B82" t="str">
        <f>INDEX(town_population[Regional Planning Commission],MATCH(town_establishments[[#This Row],[Municipality]],town_population[Municipality],0))</f>
        <v>Northeastern Vermont Development Association</v>
      </c>
      <c r="E82">
        <v>1</v>
      </c>
      <c r="I82">
        <v>1</v>
      </c>
      <c r="Q82">
        <f t="shared" si="18"/>
        <v>2</v>
      </c>
      <c r="R82" s="189">
        <f t="shared" si="19"/>
        <v>0</v>
      </c>
      <c r="S82" s="189">
        <f t="shared" si="4"/>
        <v>0</v>
      </c>
      <c r="T82" s="189">
        <f t="shared" si="5"/>
        <v>0.5</v>
      </c>
      <c r="U82" s="189">
        <f t="shared" si="6"/>
        <v>0</v>
      </c>
      <c r="V82" s="189">
        <f t="shared" si="7"/>
        <v>0</v>
      </c>
      <c r="W82" s="189">
        <f t="shared" si="8"/>
        <v>0</v>
      </c>
      <c r="X82" s="189">
        <f t="shared" si="9"/>
        <v>0.5</v>
      </c>
      <c r="Y82" s="189">
        <f t="shared" si="10"/>
        <v>0</v>
      </c>
      <c r="Z82" s="189">
        <f t="shared" si="11"/>
        <v>0</v>
      </c>
      <c r="AA82" s="189">
        <f t="shared" si="12"/>
        <v>0</v>
      </c>
      <c r="AB82" s="189">
        <f t="shared" si="13"/>
        <v>0</v>
      </c>
      <c r="AC82" s="189">
        <f t="shared" si="14"/>
        <v>0</v>
      </c>
      <c r="AD82" s="189">
        <f t="shared" si="15"/>
        <v>0</v>
      </c>
      <c r="AE82" s="189">
        <f t="shared" si="16"/>
        <v>0</v>
      </c>
      <c r="AF82" s="189">
        <f t="shared" si="20"/>
        <v>1.0503098414032139E-4</v>
      </c>
      <c r="AG82" s="189">
        <f>town_establishments[[#This Row],[share of state establishments]]/($AF$250-$AF$249)</f>
        <v>1.0864251181487315E-4</v>
      </c>
      <c r="AH82" s="189">
        <f>town_establishments[[#This Row],[share of state establishments (no residual)]]/(INDEX(regional_establishments[share of state establishments],MATCH(town_establishments[[#This Row],[Regional Planning Commission]],regional_establishments[Regional Planning Commission],0)))</f>
        <v>1.3708019191226866E-3</v>
      </c>
    </row>
    <row r="83" spans="1:34" x14ac:dyDescent="0.25">
      <c r="A83" t="s">
        <v>295</v>
      </c>
      <c r="B83" t="str">
        <f>INDEX(town_population[Regional Planning Commission],MATCH(town_establishments[[#This Row],[Municipality]],town_population[Municipality],0))</f>
        <v>Northwest Regional Planning Commission</v>
      </c>
      <c r="C83">
        <v>5</v>
      </c>
      <c r="D83">
        <v>4</v>
      </c>
      <c r="E83">
        <v>1</v>
      </c>
      <c r="G83">
        <v>2</v>
      </c>
      <c r="H83">
        <v>3</v>
      </c>
      <c r="I83">
        <v>9</v>
      </c>
      <c r="K83">
        <v>5</v>
      </c>
      <c r="L83">
        <v>1</v>
      </c>
      <c r="M83">
        <v>2</v>
      </c>
      <c r="N83">
        <v>1</v>
      </c>
      <c r="O83">
        <v>4</v>
      </c>
      <c r="P83">
        <v>6</v>
      </c>
      <c r="Q83">
        <f t="shared" si="18"/>
        <v>43</v>
      </c>
      <c r="R83" s="189">
        <f t="shared" si="19"/>
        <v>0.11627906976744186</v>
      </c>
      <c r="S83" s="189">
        <f t="shared" ref="S83:S146" si="21">IF($Q83&lt;&gt;0,D83/$Q83,0)</f>
        <v>9.3023255813953487E-2</v>
      </c>
      <c r="T83" s="189">
        <f t="shared" ref="T83:T146" si="22">IF($Q83&lt;&gt;0,E83/$Q83,0)</f>
        <v>2.3255813953488372E-2</v>
      </c>
      <c r="U83" s="189">
        <f t="shared" ref="U83:U146" si="23">IF($Q83&lt;&gt;0,F83/$Q83,0)</f>
        <v>0</v>
      </c>
      <c r="V83" s="189">
        <f t="shared" ref="V83:V146" si="24">IF($Q83&lt;&gt;0,G83/$Q83,0)</f>
        <v>4.6511627906976744E-2</v>
      </c>
      <c r="W83" s="189">
        <f t="shared" ref="W83:W146" si="25">IF($Q83&lt;&gt;0,H83/$Q83,0)</f>
        <v>6.9767441860465115E-2</v>
      </c>
      <c r="X83" s="189">
        <f t="shared" ref="X83:X146" si="26">IF($Q83&lt;&gt;0,I83/$Q83,0)</f>
        <v>0.20930232558139536</v>
      </c>
      <c r="Y83" s="189">
        <f t="shared" ref="Y83:Y146" si="27">IF($Q83&lt;&gt;0,J83/$Q83,0)</f>
        <v>0</v>
      </c>
      <c r="Z83" s="189">
        <f t="shared" ref="Z83:Z146" si="28">IF($Q83&lt;&gt;0,K83/$Q83,0)</f>
        <v>0.11627906976744186</v>
      </c>
      <c r="AA83" s="189">
        <f t="shared" ref="AA83:AA146" si="29">IF($Q83&lt;&gt;0,L83/$Q83,0)</f>
        <v>2.3255813953488372E-2</v>
      </c>
      <c r="AB83" s="189">
        <f t="shared" ref="AB83:AB146" si="30">IF($Q83&lt;&gt;0,M83/$Q83,0)</f>
        <v>4.6511627906976744E-2</v>
      </c>
      <c r="AC83" s="189">
        <f t="shared" ref="AC83:AC146" si="31">IF($Q83&lt;&gt;0,N83/$Q83,0)</f>
        <v>2.3255813953488372E-2</v>
      </c>
      <c r="AD83" s="189">
        <f t="shared" ref="AD83:AD146" si="32">IF($Q83&lt;&gt;0,O83/$Q83,0)</f>
        <v>9.3023255813953487E-2</v>
      </c>
      <c r="AE83" s="189">
        <f t="shared" ref="AE83:AE146" si="33">IF($Q83&lt;&gt;0,P83/$Q83,0)</f>
        <v>0.13953488372093023</v>
      </c>
      <c r="AF83" s="189">
        <f t="shared" si="20"/>
        <v>2.2581661590169101E-3</v>
      </c>
      <c r="AG83" s="189">
        <f>town_establishments[[#This Row],[share of state establishments]]/($AF$250-$AF$249)</f>
        <v>2.3358140040197731E-3</v>
      </c>
      <c r="AH83" s="189">
        <f>town_establishments[[#This Row],[share of state establishments (no residual)]]/(INDEX(regional_establishments[share of state establishments],MATCH(town_establishments[[#This Row],[Regional Planning Commission]],regional_establishments[Regional Planning Commission],0)))</f>
        <v>4.2074363992172216E-2</v>
      </c>
    </row>
    <row r="84" spans="1:34" x14ac:dyDescent="0.25">
      <c r="A84" t="s">
        <v>296</v>
      </c>
      <c r="B84" t="str">
        <f>INDEX(town_population[Regional Planning Commission],MATCH(town_establishments[[#This Row],[Municipality]],town_population[Municipality],0))</f>
        <v>Two Rivers-Ottauquechee Regional Commission</v>
      </c>
      <c r="C84">
        <v>2</v>
      </c>
      <c r="D84">
        <v>1</v>
      </c>
      <c r="E84">
        <v>1</v>
      </c>
      <c r="I84">
        <v>1</v>
      </c>
      <c r="K84">
        <v>1</v>
      </c>
      <c r="O84">
        <v>0</v>
      </c>
      <c r="Q84">
        <f t="shared" si="18"/>
        <v>6</v>
      </c>
      <c r="R84" s="189">
        <f t="shared" si="19"/>
        <v>0.33333333333333331</v>
      </c>
      <c r="S84" s="189">
        <f t="shared" si="21"/>
        <v>0.16666666666666666</v>
      </c>
      <c r="T84" s="189">
        <f t="shared" si="22"/>
        <v>0.16666666666666666</v>
      </c>
      <c r="U84" s="189">
        <f t="shared" si="23"/>
        <v>0</v>
      </c>
      <c r="V84" s="189">
        <f t="shared" si="24"/>
        <v>0</v>
      </c>
      <c r="W84" s="189">
        <f t="shared" si="25"/>
        <v>0</v>
      </c>
      <c r="X84" s="189">
        <f t="shared" si="26"/>
        <v>0.16666666666666666</v>
      </c>
      <c r="Y84" s="189">
        <f t="shared" si="27"/>
        <v>0</v>
      </c>
      <c r="Z84" s="189">
        <f t="shared" si="28"/>
        <v>0.16666666666666666</v>
      </c>
      <c r="AA84" s="189">
        <f t="shared" si="29"/>
        <v>0</v>
      </c>
      <c r="AB84" s="189">
        <f t="shared" si="30"/>
        <v>0</v>
      </c>
      <c r="AC84" s="189">
        <f t="shared" si="31"/>
        <v>0</v>
      </c>
      <c r="AD84" s="189">
        <f t="shared" si="32"/>
        <v>0</v>
      </c>
      <c r="AE84" s="189">
        <f t="shared" si="33"/>
        <v>0</v>
      </c>
      <c r="AF84" s="189">
        <f t="shared" si="20"/>
        <v>3.150929524209642E-4</v>
      </c>
      <c r="AG84" s="189">
        <f>town_establishments[[#This Row],[share of state establishments]]/($AF$250-$AF$249)</f>
        <v>3.2592753544461947E-4</v>
      </c>
      <c r="AH84" s="189">
        <f>town_establishments[[#This Row],[share of state establishments (no residual)]]/(INDEX(regional_establishments[share of state establishments],MATCH(town_establishments[[#This Row],[Regional Planning Commission]],regional_establishments[Regional Planning Commission],0)))</f>
        <v>3.7037037037037038E-3</v>
      </c>
    </row>
    <row r="85" spans="1:34" x14ac:dyDescent="0.25">
      <c r="A85" t="s">
        <v>297</v>
      </c>
      <c r="B85" t="str">
        <f>INDEX(town_population[Regional Planning Commission],MATCH(town_establishments[[#This Row],[Municipality]],town_population[Municipality],0))</f>
        <v>Northeastern Vermont Development Association</v>
      </c>
      <c r="C85">
        <v>3</v>
      </c>
      <c r="D85">
        <v>4</v>
      </c>
      <c r="E85">
        <v>1</v>
      </c>
      <c r="F85">
        <v>1</v>
      </c>
      <c r="I85">
        <v>3</v>
      </c>
      <c r="K85">
        <v>2</v>
      </c>
      <c r="L85">
        <v>1</v>
      </c>
      <c r="M85">
        <v>4</v>
      </c>
      <c r="N85">
        <v>2</v>
      </c>
      <c r="O85">
        <v>2</v>
      </c>
      <c r="P85">
        <v>4</v>
      </c>
      <c r="Q85">
        <f t="shared" si="18"/>
        <v>27</v>
      </c>
      <c r="R85" s="189">
        <f t="shared" si="19"/>
        <v>0.1111111111111111</v>
      </c>
      <c r="S85" s="189">
        <f t="shared" si="21"/>
        <v>0.14814814814814814</v>
      </c>
      <c r="T85" s="189">
        <f t="shared" si="22"/>
        <v>3.7037037037037035E-2</v>
      </c>
      <c r="U85" s="189">
        <f t="shared" si="23"/>
        <v>3.7037037037037035E-2</v>
      </c>
      <c r="V85" s="189">
        <f t="shared" si="24"/>
        <v>0</v>
      </c>
      <c r="W85" s="189">
        <f t="shared" si="25"/>
        <v>0</v>
      </c>
      <c r="X85" s="189">
        <f t="shared" si="26"/>
        <v>0.1111111111111111</v>
      </c>
      <c r="Y85" s="189">
        <f t="shared" si="27"/>
        <v>0</v>
      </c>
      <c r="Z85" s="189">
        <f t="shared" si="28"/>
        <v>7.407407407407407E-2</v>
      </c>
      <c r="AA85" s="189">
        <f t="shared" si="29"/>
        <v>3.7037037037037035E-2</v>
      </c>
      <c r="AB85" s="189">
        <f t="shared" si="30"/>
        <v>0.14814814814814814</v>
      </c>
      <c r="AC85" s="189">
        <f t="shared" si="31"/>
        <v>7.407407407407407E-2</v>
      </c>
      <c r="AD85" s="189">
        <f t="shared" si="32"/>
        <v>7.407407407407407E-2</v>
      </c>
      <c r="AE85" s="189">
        <f t="shared" si="33"/>
        <v>0.14814814814814814</v>
      </c>
      <c r="AF85" s="189">
        <f t="shared" si="20"/>
        <v>1.4179182858943388E-3</v>
      </c>
      <c r="AG85" s="189">
        <f>town_establishments[[#This Row],[share of state establishments]]/($AF$250-$AF$249)</f>
        <v>1.4666739095007876E-3</v>
      </c>
      <c r="AH85" s="189">
        <f>town_establishments[[#This Row],[share of state establishments (no residual)]]/(INDEX(regional_establishments[share of state establishments],MATCH(town_establishments[[#This Row],[Regional Planning Commission]],regional_establishments[Regional Planning Commission],0)))</f>
        <v>1.8505825908156269E-2</v>
      </c>
    </row>
    <row r="86" spans="1:34" x14ac:dyDescent="0.25">
      <c r="A86" t="s">
        <v>298</v>
      </c>
      <c r="B86" t="str">
        <f>INDEX(town_population[Regional Planning Commission],MATCH(town_establishments[[#This Row],[Municipality]],town_population[Municipality],0))</f>
        <v>Northeastern Vermont Development Association</v>
      </c>
      <c r="D86">
        <v>2</v>
      </c>
      <c r="E86">
        <v>2</v>
      </c>
      <c r="F86">
        <v>1</v>
      </c>
      <c r="G86">
        <v>1</v>
      </c>
      <c r="H86">
        <v>1</v>
      </c>
      <c r="I86">
        <v>2</v>
      </c>
      <c r="K86">
        <v>2</v>
      </c>
      <c r="M86">
        <v>1</v>
      </c>
      <c r="P86">
        <v>4</v>
      </c>
      <c r="Q86">
        <f t="shared" si="18"/>
        <v>16</v>
      </c>
      <c r="R86" s="189">
        <f t="shared" si="19"/>
        <v>0</v>
      </c>
      <c r="S86" s="189">
        <f t="shared" si="21"/>
        <v>0.125</v>
      </c>
      <c r="T86" s="189">
        <f t="shared" si="22"/>
        <v>0.125</v>
      </c>
      <c r="U86" s="189">
        <f t="shared" si="23"/>
        <v>6.25E-2</v>
      </c>
      <c r="V86" s="189">
        <f t="shared" si="24"/>
        <v>6.25E-2</v>
      </c>
      <c r="W86" s="189">
        <f t="shared" si="25"/>
        <v>6.25E-2</v>
      </c>
      <c r="X86" s="189">
        <f t="shared" si="26"/>
        <v>0.125</v>
      </c>
      <c r="Y86" s="189">
        <f t="shared" si="27"/>
        <v>0</v>
      </c>
      <c r="Z86" s="189">
        <f t="shared" si="28"/>
        <v>0.125</v>
      </c>
      <c r="AA86" s="189">
        <f t="shared" si="29"/>
        <v>0</v>
      </c>
      <c r="AB86" s="189">
        <f t="shared" si="30"/>
        <v>6.25E-2</v>
      </c>
      <c r="AC86" s="189">
        <f t="shared" si="31"/>
        <v>0</v>
      </c>
      <c r="AD86" s="189">
        <f t="shared" si="32"/>
        <v>0</v>
      </c>
      <c r="AE86" s="189">
        <f t="shared" si="33"/>
        <v>0.25</v>
      </c>
      <c r="AF86" s="189">
        <f t="shared" si="20"/>
        <v>8.4024787312257112E-4</v>
      </c>
      <c r="AG86" s="189">
        <f>town_establishments[[#This Row],[share of state establishments]]/($AF$250-$AF$249)</f>
        <v>8.6914009451898521E-4</v>
      </c>
      <c r="AH86" s="189">
        <f>town_establishments[[#This Row],[share of state establishments (no residual)]]/(INDEX(regional_establishments[share of state establishments],MATCH(town_establishments[[#This Row],[Regional Planning Commission]],regional_establishments[Regional Planning Commission],0)))</f>
        <v>1.0966415352981493E-2</v>
      </c>
    </row>
    <row r="87" spans="1:34" x14ac:dyDescent="0.25">
      <c r="A87" t="s">
        <v>299</v>
      </c>
      <c r="B87" t="str">
        <f>INDEX(town_population[Regional Planning Commission],MATCH(town_establishments[[#This Row],[Municipality]],town_population[Municipality],0))</f>
        <v>Northeastern Vermont Development Association</v>
      </c>
      <c r="E87">
        <v>1</v>
      </c>
      <c r="K87">
        <v>1</v>
      </c>
      <c r="L87">
        <v>1</v>
      </c>
      <c r="P87">
        <v>1</v>
      </c>
      <c r="Q87">
        <f t="shared" si="18"/>
        <v>4</v>
      </c>
      <c r="R87" s="189">
        <f t="shared" si="19"/>
        <v>0</v>
      </c>
      <c r="S87" s="189">
        <f t="shared" si="21"/>
        <v>0</v>
      </c>
      <c r="T87" s="189">
        <f t="shared" si="22"/>
        <v>0.25</v>
      </c>
      <c r="U87" s="189">
        <f t="shared" si="23"/>
        <v>0</v>
      </c>
      <c r="V87" s="189">
        <f t="shared" si="24"/>
        <v>0</v>
      </c>
      <c r="W87" s="189">
        <f t="shared" si="25"/>
        <v>0</v>
      </c>
      <c r="X87" s="189">
        <f t="shared" si="26"/>
        <v>0</v>
      </c>
      <c r="Y87" s="189">
        <f t="shared" si="27"/>
        <v>0</v>
      </c>
      <c r="Z87" s="189">
        <f t="shared" si="28"/>
        <v>0.25</v>
      </c>
      <c r="AA87" s="189">
        <f t="shared" si="29"/>
        <v>0.25</v>
      </c>
      <c r="AB87" s="189">
        <f t="shared" si="30"/>
        <v>0</v>
      </c>
      <c r="AC87" s="189">
        <f t="shared" si="31"/>
        <v>0</v>
      </c>
      <c r="AD87" s="189">
        <f t="shared" si="32"/>
        <v>0</v>
      </c>
      <c r="AE87" s="189">
        <f t="shared" si="33"/>
        <v>0.25</v>
      </c>
      <c r="AF87" s="189">
        <f t="shared" si="20"/>
        <v>2.1006196828064278E-4</v>
      </c>
      <c r="AG87" s="189">
        <f>town_establishments[[#This Row],[share of state establishments]]/($AF$250-$AF$249)</f>
        <v>2.172850236297463E-4</v>
      </c>
      <c r="AH87" s="189">
        <f>town_establishments[[#This Row],[share of state establishments (no residual)]]/(INDEX(regional_establishments[share of state establishments],MATCH(town_establishments[[#This Row],[Regional Planning Commission]],regional_establishments[Regional Planning Commission],0)))</f>
        <v>2.7416038382453733E-3</v>
      </c>
    </row>
    <row r="88" spans="1:34" x14ac:dyDescent="0.25">
      <c r="A88" t="s">
        <v>300</v>
      </c>
      <c r="B88" t="str">
        <f>INDEX(town_population[Regional Planning Commission],MATCH(town_establishments[[#This Row],[Municipality]],town_population[Municipality],0))</f>
        <v>Windham Regional Commission</v>
      </c>
      <c r="C88">
        <v>4</v>
      </c>
      <c r="D88">
        <v>1</v>
      </c>
      <c r="E88">
        <v>1</v>
      </c>
      <c r="F88">
        <v>1</v>
      </c>
      <c r="H88">
        <v>1</v>
      </c>
      <c r="I88">
        <v>6</v>
      </c>
      <c r="K88">
        <v>8</v>
      </c>
      <c r="L88">
        <v>1</v>
      </c>
      <c r="M88">
        <v>2</v>
      </c>
      <c r="P88">
        <v>7</v>
      </c>
      <c r="Q88">
        <f t="shared" si="18"/>
        <v>32</v>
      </c>
      <c r="R88" s="189">
        <f t="shared" si="19"/>
        <v>0.125</v>
      </c>
      <c r="S88" s="189">
        <f t="shared" si="21"/>
        <v>3.125E-2</v>
      </c>
      <c r="T88" s="189">
        <f t="shared" si="22"/>
        <v>3.125E-2</v>
      </c>
      <c r="U88" s="189">
        <f t="shared" si="23"/>
        <v>3.125E-2</v>
      </c>
      <c r="V88" s="189">
        <f t="shared" si="24"/>
        <v>0</v>
      </c>
      <c r="W88" s="189">
        <f t="shared" si="25"/>
        <v>3.125E-2</v>
      </c>
      <c r="X88" s="189">
        <f t="shared" si="26"/>
        <v>0.1875</v>
      </c>
      <c r="Y88" s="189">
        <f t="shared" si="27"/>
        <v>0</v>
      </c>
      <c r="Z88" s="189">
        <f t="shared" si="28"/>
        <v>0.25</v>
      </c>
      <c r="AA88" s="189">
        <f t="shared" si="29"/>
        <v>3.125E-2</v>
      </c>
      <c r="AB88" s="189">
        <f t="shared" si="30"/>
        <v>6.25E-2</v>
      </c>
      <c r="AC88" s="189">
        <f t="shared" si="31"/>
        <v>0</v>
      </c>
      <c r="AD88" s="189">
        <f t="shared" si="32"/>
        <v>0</v>
      </c>
      <c r="AE88" s="189">
        <f t="shared" si="33"/>
        <v>0.21875</v>
      </c>
      <c r="AF88" s="189">
        <f t="shared" si="20"/>
        <v>1.6804957462451422E-3</v>
      </c>
      <c r="AG88" s="189">
        <f>town_establishments[[#This Row],[share of state establishments]]/($AF$250-$AF$249)</f>
        <v>1.7382801890379704E-3</v>
      </c>
      <c r="AH88" s="189">
        <f>town_establishments[[#This Row],[share of state establishments (no residual)]]/(INDEX(regional_establishments[share of state establishments],MATCH(town_establishments[[#This Row],[Regional Planning Commission]],regional_establishments[Regional Planning Commission],0)))</f>
        <v>2.06052801030264E-2</v>
      </c>
    </row>
    <row r="89" spans="1:34" x14ac:dyDescent="0.25">
      <c r="A89" t="s">
        <v>301</v>
      </c>
      <c r="B89" t="str">
        <f>INDEX(town_population[Regional Planning Commission],MATCH(town_establishments[[#This Row],[Municipality]],town_population[Municipality],0))</f>
        <v>Windham Regional Commission</v>
      </c>
      <c r="C89">
        <v>1</v>
      </c>
      <c r="D89">
        <v>1</v>
      </c>
      <c r="E89">
        <v>1</v>
      </c>
      <c r="I89">
        <v>3</v>
      </c>
      <c r="K89">
        <v>1</v>
      </c>
      <c r="L89">
        <v>1</v>
      </c>
      <c r="M89">
        <v>1</v>
      </c>
      <c r="P89">
        <v>0</v>
      </c>
      <c r="Q89">
        <f t="shared" si="18"/>
        <v>9</v>
      </c>
      <c r="R89" s="189">
        <f t="shared" si="19"/>
        <v>0.1111111111111111</v>
      </c>
      <c r="S89" s="189">
        <f t="shared" si="21"/>
        <v>0.1111111111111111</v>
      </c>
      <c r="T89" s="189">
        <f t="shared" si="22"/>
        <v>0.1111111111111111</v>
      </c>
      <c r="U89" s="189">
        <f t="shared" si="23"/>
        <v>0</v>
      </c>
      <c r="V89" s="189">
        <f t="shared" si="24"/>
        <v>0</v>
      </c>
      <c r="W89" s="189">
        <f t="shared" si="25"/>
        <v>0</v>
      </c>
      <c r="X89" s="189">
        <f t="shared" si="26"/>
        <v>0.33333333333333331</v>
      </c>
      <c r="Y89" s="189">
        <f t="shared" si="27"/>
        <v>0</v>
      </c>
      <c r="Z89" s="189">
        <f t="shared" si="28"/>
        <v>0.1111111111111111</v>
      </c>
      <c r="AA89" s="189">
        <f t="shared" si="29"/>
        <v>0.1111111111111111</v>
      </c>
      <c r="AB89" s="189">
        <f t="shared" si="30"/>
        <v>0.1111111111111111</v>
      </c>
      <c r="AC89" s="189">
        <f t="shared" si="31"/>
        <v>0</v>
      </c>
      <c r="AD89" s="189">
        <f t="shared" si="32"/>
        <v>0</v>
      </c>
      <c r="AE89" s="189">
        <f t="shared" si="33"/>
        <v>0</v>
      </c>
      <c r="AF89" s="189">
        <f t="shared" si="20"/>
        <v>4.7263942863144627E-4</v>
      </c>
      <c r="AG89" s="189">
        <f>town_establishments[[#This Row],[share of state establishments]]/($AF$250-$AF$249)</f>
        <v>4.8889130316692926E-4</v>
      </c>
      <c r="AH89" s="189">
        <f>town_establishments[[#This Row],[share of state establishments (no residual)]]/(INDEX(regional_establishments[share of state establishments],MATCH(town_establishments[[#This Row],[Regional Planning Commission]],regional_establishments[Regional Planning Commission],0)))</f>
        <v>5.7952350289761758E-3</v>
      </c>
    </row>
    <row r="90" spans="1:34" x14ac:dyDescent="0.25">
      <c r="A90" t="s">
        <v>302</v>
      </c>
      <c r="B90" t="str">
        <f>INDEX(town_population[Regional Planning Commission],MATCH(town_establishments[[#This Row],[Municipality]],town_population[Municipality],0))</f>
        <v>Two Rivers-Ottauquechee Regional Commission</v>
      </c>
      <c r="E90">
        <v>2</v>
      </c>
      <c r="M90">
        <v>2</v>
      </c>
      <c r="O90">
        <v>2</v>
      </c>
      <c r="P90">
        <v>1</v>
      </c>
      <c r="Q90">
        <f t="shared" si="18"/>
        <v>7</v>
      </c>
      <c r="R90" s="189">
        <f t="shared" si="19"/>
        <v>0</v>
      </c>
      <c r="S90" s="189">
        <f t="shared" si="21"/>
        <v>0</v>
      </c>
      <c r="T90" s="189">
        <f t="shared" si="22"/>
        <v>0.2857142857142857</v>
      </c>
      <c r="U90" s="189">
        <f t="shared" si="23"/>
        <v>0</v>
      </c>
      <c r="V90" s="189">
        <f t="shared" si="24"/>
        <v>0</v>
      </c>
      <c r="W90" s="189">
        <f t="shared" si="25"/>
        <v>0</v>
      </c>
      <c r="X90" s="189">
        <f t="shared" si="26"/>
        <v>0</v>
      </c>
      <c r="Y90" s="189">
        <f t="shared" si="27"/>
        <v>0</v>
      </c>
      <c r="Z90" s="189">
        <f t="shared" si="28"/>
        <v>0</v>
      </c>
      <c r="AA90" s="189">
        <f t="shared" si="29"/>
        <v>0</v>
      </c>
      <c r="AB90" s="189">
        <f t="shared" si="30"/>
        <v>0.2857142857142857</v>
      </c>
      <c r="AC90" s="189">
        <f t="shared" si="31"/>
        <v>0</v>
      </c>
      <c r="AD90" s="189">
        <f t="shared" si="32"/>
        <v>0.2857142857142857</v>
      </c>
      <c r="AE90" s="189">
        <f t="shared" si="33"/>
        <v>0.14285714285714285</v>
      </c>
      <c r="AF90" s="189">
        <f t="shared" si="20"/>
        <v>3.676084444911249E-4</v>
      </c>
      <c r="AG90" s="189">
        <f>town_establishments[[#This Row],[share of state establishments]]/($AF$250-$AF$249)</f>
        <v>3.8024879135205606E-4</v>
      </c>
      <c r="AH90" s="189">
        <f>town_establishments[[#This Row],[share of state establishments (no residual)]]/(INDEX(regional_establishments[share of state establishments],MATCH(town_establishments[[#This Row],[Regional Planning Commission]],regional_establishments[Regional Planning Commission],0)))</f>
        <v>4.3209876543209881E-3</v>
      </c>
    </row>
    <row r="91" spans="1:34" x14ac:dyDescent="0.25">
      <c r="A91" t="s">
        <v>303</v>
      </c>
      <c r="B91" t="str">
        <f>INDEX(town_population[Regional Planning Commission],MATCH(town_establishments[[#This Row],[Municipality]],town_population[Municipality],0))</f>
        <v>Northeastern Vermont Development Association</v>
      </c>
      <c r="C91">
        <v>5</v>
      </c>
      <c r="D91">
        <v>27</v>
      </c>
      <c r="E91">
        <v>4</v>
      </c>
      <c r="F91">
        <v>2</v>
      </c>
      <c r="G91">
        <v>3</v>
      </c>
      <c r="H91">
        <v>3</v>
      </c>
      <c r="I91">
        <v>17</v>
      </c>
      <c r="K91">
        <v>4</v>
      </c>
      <c r="L91">
        <v>5</v>
      </c>
      <c r="M91">
        <v>11</v>
      </c>
      <c r="N91">
        <v>1</v>
      </c>
      <c r="O91">
        <v>7</v>
      </c>
      <c r="P91">
        <v>9</v>
      </c>
      <c r="Q91">
        <f t="shared" si="18"/>
        <v>98</v>
      </c>
      <c r="R91" s="189">
        <f t="shared" si="19"/>
        <v>5.1020408163265307E-2</v>
      </c>
      <c r="S91" s="189">
        <f t="shared" si="21"/>
        <v>0.27551020408163263</v>
      </c>
      <c r="T91" s="189">
        <f t="shared" si="22"/>
        <v>4.0816326530612242E-2</v>
      </c>
      <c r="U91" s="189">
        <f t="shared" si="23"/>
        <v>2.0408163265306121E-2</v>
      </c>
      <c r="V91" s="189">
        <f t="shared" si="24"/>
        <v>3.0612244897959183E-2</v>
      </c>
      <c r="W91" s="189">
        <f t="shared" si="25"/>
        <v>3.0612244897959183E-2</v>
      </c>
      <c r="X91" s="189">
        <f t="shared" si="26"/>
        <v>0.17346938775510204</v>
      </c>
      <c r="Y91" s="189">
        <f t="shared" si="27"/>
        <v>0</v>
      </c>
      <c r="Z91" s="189">
        <f t="shared" si="28"/>
        <v>4.0816326530612242E-2</v>
      </c>
      <c r="AA91" s="189">
        <f t="shared" si="29"/>
        <v>5.1020408163265307E-2</v>
      </c>
      <c r="AB91" s="189">
        <f t="shared" si="30"/>
        <v>0.11224489795918367</v>
      </c>
      <c r="AC91" s="189">
        <f t="shared" si="31"/>
        <v>1.020408163265306E-2</v>
      </c>
      <c r="AD91" s="189">
        <f t="shared" si="32"/>
        <v>7.1428571428571425E-2</v>
      </c>
      <c r="AE91" s="189">
        <f t="shared" si="33"/>
        <v>9.1836734693877556E-2</v>
      </c>
      <c r="AF91" s="189">
        <f t="shared" si="20"/>
        <v>5.1465182228757483E-3</v>
      </c>
      <c r="AG91" s="189">
        <f>town_establishments[[#This Row],[share of state establishments]]/($AF$250-$AF$249)</f>
        <v>5.3234830789287849E-3</v>
      </c>
      <c r="AH91" s="189">
        <f>town_establishments[[#This Row],[share of state establishments (no residual)]]/(INDEX(regional_establishments[share of state establishments],MATCH(town_establishments[[#This Row],[Regional Planning Commission]],regional_establishments[Regional Planning Commission],0)))</f>
        <v>6.7169294037011648E-2</v>
      </c>
    </row>
    <row r="92" spans="1:34" x14ac:dyDescent="0.25">
      <c r="A92" t="s">
        <v>304</v>
      </c>
      <c r="B92" t="str">
        <f>INDEX(town_population[Regional Planning Commission],MATCH(town_establishments[[#This Row],[Municipality]],town_population[Municipality],0))</f>
        <v>Two Rivers-Ottauquechee Regional Commission</v>
      </c>
      <c r="C92">
        <v>25</v>
      </c>
      <c r="D92">
        <v>58</v>
      </c>
      <c r="E92">
        <v>20</v>
      </c>
      <c r="F92">
        <v>13</v>
      </c>
      <c r="G92">
        <v>24</v>
      </c>
      <c r="H92">
        <v>23</v>
      </c>
      <c r="I92">
        <v>67</v>
      </c>
      <c r="J92">
        <v>1</v>
      </c>
      <c r="K92">
        <v>33</v>
      </c>
      <c r="L92">
        <v>12</v>
      </c>
      <c r="M92">
        <v>42</v>
      </c>
      <c r="N92">
        <v>8</v>
      </c>
      <c r="O92">
        <v>36</v>
      </c>
      <c r="P92">
        <v>41</v>
      </c>
      <c r="Q92">
        <f t="shared" si="18"/>
        <v>403</v>
      </c>
      <c r="R92" s="189">
        <f t="shared" si="19"/>
        <v>6.2034739454094295E-2</v>
      </c>
      <c r="S92" s="189">
        <f t="shared" si="21"/>
        <v>0.14392059553349876</v>
      </c>
      <c r="T92" s="189">
        <f t="shared" si="22"/>
        <v>4.9627791563275438E-2</v>
      </c>
      <c r="U92" s="189">
        <f t="shared" si="23"/>
        <v>3.2258064516129031E-2</v>
      </c>
      <c r="V92" s="189">
        <f t="shared" si="24"/>
        <v>5.9553349875930521E-2</v>
      </c>
      <c r="W92" s="189">
        <f t="shared" si="25"/>
        <v>5.7071960297766747E-2</v>
      </c>
      <c r="X92" s="189">
        <f t="shared" si="26"/>
        <v>0.16625310173697269</v>
      </c>
      <c r="Y92" s="189">
        <f t="shared" si="27"/>
        <v>2.4813895781637717E-3</v>
      </c>
      <c r="Z92" s="189">
        <f t="shared" si="28"/>
        <v>8.1885856079404462E-2</v>
      </c>
      <c r="AA92" s="189">
        <f t="shared" si="29"/>
        <v>2.9776674937965261E-2</v>
      </c>
      <c r="AB92" s="189">
        <f t="shared" si="30"/>
        <v>0.10421836228287841</v>
      </c>
      <c r="AC92" s="189">
        <f t="shared" si="31"/>
        <v>1.9851116625310174E-2</v>
      </c>
      <c r="AD92" s="189">
        <f t="shared" si="32"/>
        <v>8.9330024813895778E-2</v>
      </c>
      <c r="AE92" s="189">
        <f t="shared" si="33"/>
        <v>0.10173697270471464</v>
      </c>
      <c r="AF92" s="189">
        <f t="shared" si="20"/>
        <v>2.116374330427476E-2</v>
      </c>
      <c r="AG92" s="189">
        <f>town_establishments[[#This Row],[share of state establishments]]/($AF$250-$AF$249)</f>
        <v>2.1891466130696941E-2</v>
      </c>
      <c r="AH92" s="189">
        <f>town_establishments[[#This Row],[share of state establishments (no residual)]]/(INDEX(regional_establishments[share of state establishments],MATCH(town_establishments[[#This Row],[Regional Planning Commission]],regional_establishments[Regional Planning Commission],0)))</f>
        <v>0.24876543209876545</v>
      </c>
    </row>
    <row r="93" spans="1:34" x14ac:dyDescent="0.25">
      <c r="A93" t="s">
        <v>305</v>
      </c>
      <c r="B93" t="str">
        <f>INDEX(town_population[Regional Planning Commission],MATCH(town_establishments[[#This Row],[Municipality]],town_population[Municipality],0))</f>
        <v>Two Rivers-Ottauquechee Regional Commission</v>
      </c>
      <c r="C93">
        <v>4</v>
      </c>
      <c r="D93">
        <v>5</v>
      </c>
      <c r="E93">
        <v>3</v>
      </c>
      <c r="G93">
        <v>1</v>
      </c>
      <c r="H93">
        <v>3</v>
      </c>
      <c r="I93">
        <v>9</v>
      </c>
      <c r="K93">
        <v>9</v>
      </c>
      <c r="L93">
        <v>1</v>
      </c>
      <c r="M93">
        <v>3</v>
      </c>
      <c r="N93">
        <v>2</v>
      </c>
      <c r="O93">
        <v>2</v>
      </c>
      <c r="P93">
        <v>6</v>
      </c>
      <c r="Q93">
        <f t="shared" si="18"/>
        <v>48</v>
      </c>
      <c r="R93" s="189">
        <f t="shared" si="19"/>
        <v>8.3333333333333329E-2</v>
      </c>
      <c r="S93" s="189">
        <f t="shared" si="21"/>
        <v>0.10416666666666667</v>
      </c>
      <c r="T93" s="189">
        <f t="shared" si="22"/>
        <v>6.25E-2</v>
      </c>
      <c r="U93" s="189">
        <f t="shared" si="23"/>
        <v>0</v>
      </c>
      <c r="V93" s="189">
        <f t="shared" si="24"/>
        <v>2.0833333333333332E-2</v>
      </c>
      <c r="W93" s="189">
        <f t="shared" si="25"/>
        <v>6.25E-2</v>
      </c>
      <c r="X93" s="189">
        <f t="shared" si="26"/>
        <v>0.1875</v>
      </c>
      <c r="Y93" s="189">
        <f t="shared" si="27"/>
        <v>0</v>
      </c>
      <c r="Z93" s="189">
        <f t="shared" si="28"/>
        <v>0.1875</v>
      </c>
      <c r="AA93" s="189">
        <f t="shared" si="29"/>
        <v>2.0833333333333332E-2</v>
      </c>
      <c r="AB93" s="189">
        <f t="shared" si="30"/>
        <v>6.25E-2</v>
      </c>
      <c r="AC93" s="189">
        <f t="shared" si="31"/>
        <v>4.1666666666666664E-2</v>
      </c>
      <c r="AD93" s="189">
        <f t="shared" si="32"/>
        <v>4.1666666666666664E-2</v>
      </c>
      <c r="AE93" s="189">
        <f t="shared" si="33"/>
        <v>0.125</v>
      </c>
      <c r="AF93" s="189">
        <f t="shared" si="20"/>
        <v>2.5207436193677136E-3</v>
      </c>
      <c r="AG93" s="189">
        <f>town_establishments[[#This Row],[share of state establishments]]/($AF$250-$AF$249)</f>
        <v>2.6074202835569557E-3</v>
      </c>
      <c r="AH93" s="189">
        <f>town_establishments[[#This Row],[share of state establishments (no residual)]]/(INDEX(regional_establishments[share of state establishments],MATCH(town_establishments[[#This Row],[Regional Planning Commission]],regional_establishments[Regional Planning Commission],0)))</f>
        <v>2.9629629629629631E-2</v>
      </c>
    </row>
    <row r="94" spans="1:34" x14ac:dyDescent="0.25">
      <c r="A94" t="s">
        <v>306</v>
      </c>
      <c r="B94" t="str">
        <f>INDEX(town_population[Regional Planning Commission],MATCH(town_establishments[[#This Row],[Municipality]],town_population[Municipality],0))</f>
        <v>Northwest Regional Planning Commission</v>
      </c>
      <c r="C94">
        <v>2</v>
      </c>
      <c r="D94">
        <v>4</v>
      </c>
      <c r="E94">
        <v>4</v>
      </c>
      <c r="I94">
        <v>2</v>
      </c>
      <c r="K94">
        <v>4</v>
      </c>
      <c r="L94">
        <v>1</v>
      </c>
      <c r="M94">
        <v>3</v>
      </c>
      <c r="O94">
        <v>2</v>
      </c>
      <c r="P94">
        <v>1</v>
      </c>
      <c r="Q94">
        <f t="shared" si="18"/>
        <v>23</v>
      </c>
      <c r="R94" s="189">
        <f t="shared" si="19"/>
        <v>8.6956521739130432E-2</v>
      </c>
      <c r="S94" s="189">
        <f t="shared" si="21"/>
        <v>0.17391304347826086</v>
      </c>
      <c r="T94" s="189">
        <f t="shared" si="22"/>
        <v>0.17391304347826086</v>
      </c>
      <c r="U94" s="189">
        <f t="shared" si="23"/>
        <v>0</v>
      </c>
      <c r="V94" s="189">
        <f t="shared" si="24"/>
        <v>0</v>
      </c>
      <c r="W94" s="189">
        <f t="shared" si="25"/>
        <v>0</v>
      </c>
      <c r="X94" s="189">
        <f t="shared" si="26"/>
        <v>8.6956521739130432E-2</v>
      </c>
      <c r="Y94" s="189">
        <f t="shared" si="27"/>
        <v>0</v>
      </c>
      <c r="Z94" s="189">
        <f t="shared" si="28"/>
        <v>0.17391304347826086</v>
      </c>
      <c r="AA94" s="189">
        <f t="shared" si="29"/>
        <v>4.3478260869565216E-2</v>
      </c>
      <c r="AB94" s="189">
        <f t="shared" si="30"/>
        <v>0.13043478260869565</v>
      </c>
      <c r="AC94" s="189">
        <f t="shared" si="31"/>
        <v>0</v>
      </c>
      <c r="AD94" s="189">
        <f t="shared" si="32"/>
        <v>8.6956521739130432E-2</v>
      </c>
      <c r="AE94" s="189">
        <f t="shared" si="33"/>
        <v>4.3478260869565216E-2</v>
      </c>
      <c r="AF94" s="189">
        <f t="shared" si="20"/>
        <v>1.207856317613696E-3</v>
      </c>
      <c r="AG94" s="189">
        <f>town_establishments[[#This Row],[share of state establishments]]/($AF$250-$AF$249)</f>
        <v>1.2493888858710412E-3</v>
      </c>
      <c r="AH94" s="189">
        <f>town_establishments[[#This Row],[share of state establishments (no residual)]]/(INDEX(regional_establishments[share of state establishments],MATCH(town_establishments[[#This Row],[Regional Planning Commission]],regional_establishments[Regional Planning Commission],0)))</f>
        <v>2.2504892367906065E-2</v>
      </c>
    </row>
    <row r="95" spans="1:34" x14ac:dyDescent="0.25">
      <c r="A95" t="s">
        <v>307</v>
      </c>
      <c r="B95" t="str">
        <f>INDEX(town_population[Regional Planning Commission],MATCH(town_establishments[[#This Row],[Municipality]],town_population[Municipality],0))</f>
        <v>Chittenden County Regional Planning Commission</v>
      </c>
      <c r="C95">
        <v>9</v>
      </c>
      <c r="D95">
        <v>13</v>
      </c>
      <c r="E95">
        <v>2</v>
      </c>
      <c r="F95">
        <v>5</v>
      </c>
      <c r="G95">
        <v>4</v>
      </c>
      <c r="I95">
        <v>26</v>
      </c>
      <c r="K95">
        <v>10</v>
      </c>
      <c r="L95">
        <v>2</v>
      </c>
      <c r="M95">
        <v>8</v>
      </c>
      <c r="N95">
        <v>5</v>
      </c>
      <c r="O95">
        <v>6</v>
      </c>
      <c r="P95">
        <v>15</v>
      </c>
      <c r="Q95">
        <f t="shared" si="18"/>
        <v>105</v>
      </c>
      <c r="R95" s="189">
        <f t="shared" si="19"/>
        <v>8.5714285714285715E-2</v>
      </c>
      <c r="S95" s="189">
        <f t="shared" si="21"/>
        <v>0.12380952380952381</v>
      </c>
      <c r="T95" s="189">
        <f t="shared" si="22"/>
        <v>1.9047619047619049E-2</v>
      </c>
      <c r="U95" s="189">
        <f t="shared" si="23"/>
        <v>4.7619047619047616E-2</v>
      </c>
      <c r="V95" s="189">
        <f t="shared" si="24"/>
        <v>3.8095238095238099E-2</v>
      </c>
      <c r="W95" s="189">
        <f t="shared" si="25"/>
        <v>0</v>
      </c>
      <c r="X95" s="189">
        <f t="shared" si="26"/>
        <v>0.24761904761904763</v>
      </c>
      <c r="Y95" s="189">
        <f t="shared" si="27"/>
        <v>0</v>
      </c>
      <c r="Z95" s="189">
        <f t="shared" si="28"/>
        <v>9.5238095238095233E-2</v>
      </c>
      <c r="AA95" s="189">
        <f t="shared" si="29"/>
        <v>1.9047619047619049E-2</v>
      </c>
      <c r="AB95" s="189">
        <f t="shared" si="30"/>
        <v>7.6190476190476197E-2</v>
      </c>
      <c r="AC95" s="189">
        <f t="shared" si="31"/>
        <v>4.7619047619047616E-2</v>
      </c>
      <c r="AD95" s="189">
        <f t="shared" si="32"/>
        <v>5.7142857142857141E-2</v>
      </c>
      <c r="AE95" s="189">
        <f t="shared" si="33"/>
        <v>0.14285714285714285</v>
      </c>
      <c r="AF95" s="189">
        <f t="shared" si="20"/>
        <v>5.514126667366873E-3</v>
      </c>
      <c r="AG95" s="189">
        <f>town_establishments[[#This Row],[share of state establishments]]/($AF$250-$AF$249)</f>
        <v>5.7037318702808405E-3</v>
      </c>
      <c r="AH95" s="189">
        <f>town_establishments[[#This Row],[share of state establishments (no residual)]]/(INDEX(regional_establishments[share of state establishments],MATCH(town_establishments[[#This Row],[Regional Planning Commission]],regional_establishments[Regional Planning Commission],0)))</f>
        <v>1.9376268684259089E-2</v>
      </c>
    </row>
    <row r="96" spans="1:34" x14ac:dyDescent="0.25">
      <c r="A96" t="s">
        <v>308</v>
      </c>
      <c r="B96" t="str">
        <f>INDEX(town_population[Regional Planning Commission],MATCH(town_establishments[[#This Row],[Municipality]],town_population[Municipality],0))</f>
        <v>Northeastern Vermont Development Association</v>
      </c>
      <c r="L96">
        <v>1</v>
      </c>
      <c r="N96">
        <v>1</v>
      </c>
      <c r="P96">
        <v>1</v>
      </c>
      <c r="Q96">
        <f t="shared" si="18"/>
        <v>3</v>
      </c>
      <c r="R96" s="189">
        <f t="shared" si="19"/>
        <v>0</v>
      </c>
      <c r="S96" s="189">
        <f t="shared" si="21"/>
        <v>0</v>
      </c>
      <c r="T96" s="189">
        <f t="shared" si="22"/>
        <v>0</v>
      </c>
      <c r="U96" s="189">
        <f t="shared" si="23"/>
        <v>0</v>
      </c>
      <c r="V96" s="189">
        <f t="shared" si="24"/>
        <v>0</v>
      </c>
      <c r="W96" s="189">
        <f t="shared" si="25"/>
        <v>0</v>
      </c>
      <c r="X96" s="189">
        <f t="shared" si="26"/>
        <v>0</v>
      </c>
      <c r="Y96" s="189">
        <f t="shared" si="27"/>
        <v>0</v>
      </c>
      <c r="Z96" s="189">
        <f t="shared" si="28"/>
        <v>0</v>
      </c>
      <c r="AA96" s="189">
        <f t="shared" si="29"/>
        <v>0.33333333333333331</v>
      </c>
      <c r="AB96" s="189">
        <f t="shared" si="30"/>
        <v>0</v>
      </c>
      <c r="AC96" s="189">
        <f t="shared" si="31"/>
        <v>0.33333333333333331</v>
      </c>
      <c r="AD96" s="189">
        <f t="shared" si="32"/>
        <v>0</v>
      </c>
      <c r="AE96" s="189">
        <f t="shared" si="33"/>
        <v>0.33333333333333331</v>
      </c>
      <c r="AF96" s="189">
        <f t="shared" si="20"/>
        <v>1.575464762104821E-4</v>
      </c>
      <c r="AG96" s="189">
        <f>town_establishments[[#This Row],[share of state establishments]]/($AF$250-$AF$249)</f>
        <v>1.6296376772230973E-4</v>
      </c>
      <c r="AH96" s="189">
        <f>town_establishments[[#This Row],[share of state establishments (no residual)]]/(INDEX(regional_establishments[share of state establishments],MATCH(town_establishments[[#This Row],[Regional Planning Commission]],regional_establishments[Regional Planning Commission],0)))</f>
        <v>2.0562028786840301E-3</v>
      </c>
    </row>
    <row r="97" spans="1:34" x14ac:dyDescent="0.25">
      <c r="A97" t="s">
        <v>309</v>
      </c>
      <c r="B97" t="str">
        <f>INDEX(town_population[Regional Planning Commission],MATCH(town_establishments[[#This Row],[Municipality]],town_population[Municipality],0))</f>
        <v>Rutland Regional Planning Commission</v>
      </c>
      <c r="I97">
        <v>0</v>
      </c>
      <c r="K97">
        <v>1</v>
      </c>
      <c r="O97">
        <v>1</v>
      </c>
      <c r="P97">
        <v>1</v>
      </c>
      <c r="Q97">
        <f t="shared" si="18"/>
        <v>3</v>
      </c>
      <c r="R97" s="189">
        <f t="shared" si="19"/>
        <v>0</v>
      </c>
      <c r="S97" s="189">
        <f t="shared" si="21"/>
        <v>0</v>
      </c>
      <c r="T97" s="189">
        <f t="shared" si="22"/>
        <v>0</v>
      </c>
      <c r="U97" s="189">
        <f t="shared" si="23"/>
        <v>0</v>
      </c>
      <c r="V97" s="189">
        <f t="shared" si="24"/>
        <v>0</v>
      </c>
      <c r="W97" s="189">
        <f t="shared" si="25"/>
        <v>0</v>
      </c>
      <c r="X97" s="189">
        <f t="shared" si="26"/>
        <v>0</v>
      </c>
      <c r="Y97" s="189">
        <f t="shared" si="27"/>
        <v>0</v>
      </c>
      <c r="Z97" s="189">
        <f t="shared" si="28"/>
        <v>0.33333333333333331</v>
      </c>
      <c r="AA97" s="189">
        <f t="shared" si="29"/>
        <v>0</v>
      </c>
      <c r="AB97" s="189">
        <f t="shared" si="30"/>
        <v>0</v>
      </c>
      <c r="AC97" s="189">
        <f t="shared" si="31"/>
        <v>0</v>
      </c>
      <c r="AD97" s="189">
        <f t="shared" si="32"/>
        <v>0.33333333333333331</v>
      </c>
      <c r="AE97" s="189">
        <f t="shared" si="33"/>
        <v>0.33333333333333331</v>
      </c>
      <c r="AF97" s="189">
        <f t="shared" si="20"/>
        <v>1.575464762104821E-4</v>
      </c>
      <c r="AG97" s="189">
        <f>town_establishments[[#This Row],[share of state establishments]]/($AF$250-$AF$249)</f>
        <v>1.6296376772230973E-4</v>
      </c>
      <c r="AH97" s="189">
        <f>town_establishments[[#This Row],[share of state establishments (no residual)]]/(INDEX(regional_establishments[share of state establishments],MATCH(town_establishments[[#This Row],[Regional Planning Commission]],regional_establishments[Regional Planning Commission],0)))</f>
        <v>1.6872890888638917E-3</v>
      </c>
    </row>
    <row r="98" spans="1:34" x14ac:dyDescent="0.25">
      <c r="A98" t="s">
        <v>310</v>
      </c>
      <c r="B98" t="str">
        <f>INDEX(town_population[Regional Planning Commission],MATCH(town_establishments[[#This Row],[Municipality]],town_population[Municipality],0))</f>
        <v>Chittenden County Regional Planning Commission</v>
      </c>
      <c r="C98">
        <v>2</v>
      </c>
      <c r="D98">
        <v>2</v>
      </c>
      <c r="E98">
        <v>1</v>
      </c>
      <c r="I98">
        <v>13</v>
      </c>
      <c r="K98">
        <v>3</v>
      </c>
      <c r="L98">
        <v>1</v>
      </c>
      <c r="N98">
        <v>1</v>
      </c>
      <c r="O98">
        <v>2</v>
      </c>
      <c r="P98">
        <v>5</v>
      </c>
      <c r="Q98">
        <f t="shared" si="18"/>
        <v>30</v>
      </c>
      <c r="R98" s="189">
        <f t="shared" si="19"/>
        <v>6.6666666666666666E-2</v>
      </c>
      <c r="S98" s="189">
        <f t="shared" si="21"/>
        <v>6.6666666666666666E-2</v>
      </c>
      <c r="T98" s="189">
        <f t="shared" si="22"/>
        <v>3.3333333333333333E-2</v>
      </c>
      <c r="U98" s="189">
        <f t="shared" si="23"/>
        <v>0</v>
      </c>
      <c r="V98" s="189">
        <f t="shared" si="24"/>
        <v>0</v>
      </c>
      <c r="W98" s="189">
        <f t="shared" si="25"/>
        <v>0</v>
      </c>
      <c r="X98" s="189">
        <f t="shared" si="26"/>
        <v>0.43333333333333335</v>
      </c>
      <c r="Y98" s="189">
        <f t="shared" si="27"/>
        <v>0</v>
      </c>
      <c r="Z98" s="189">
        <f t="shared" si="28"/>
        <v>0.1</v>
      </c>
      <c r="AA98" s="189">
        <f t="shared" si="29"/>
        <v>3.3333333333333333E-2</v>
      </c>
      <c r="AB98" s="189">
        <f t="shared" si="30"/>
        <v>0</v>
      </c>
      <c r="AC98" s="189">
        <f t="shared" si="31"/>
        <v>3.3333333333333333E-2</v>
      </c>
      <c r="AD98" s="189">
        <f t="shared" si="32"/>
        <v>6.6666666666666666E-2</v>
      </c>
      <c r="AE98" s="189">
        <f t="shared" si="33"/>
        <v>0.16666666666666666</v>
      </c>
      <c r="AF98" s="189">
        <f t="shared" si="20"/>
        <v>1.5754647621048208E-3</v>
      </c>
      <c r="AG98" s="189">
        <f>town_establishments[[#This Row],[share of state establishments]]/($AF$250-$AF$249)</f>
        <v>1.6296376772230972E-3</v>
      </c>
      <c r="AH98" s="189">
        <f>town_establishments[[#This Row],[share of state establishments (no residual)]]/(INDEX(regional_establishments[share of state establishments],MATCH(town_establishments[[#This Row],[Regional Planning Commission]],regional_establishments[Regional Planning Commission],0)))</f>
        <v>5.5360767669311688E-3</v>
      </c>
    </row>
    <row r="99" spans="1:34" x14ac:dyDescent="0.25">
      <c r="A99" t="s">
        <v>311</v>
      </c>
      <c r="B99" t="str">
        <f>INDEX(town_population[Regional Planning Commission],MATCH(town_establishments[[#This Row],[Municipality]],town_population[Municipality],0))</f>
        <v>Lamoille County Planning Commission</v>
      </c>
      <c r="C99">
        <v>5</v>
      </c>
      <c r="D99">
        <v>2</v>
      </c>
      <c r="E99">
        <v>4</v>
      </c>
      <c r="F99">
        <v>1</v>
      </c>
      <c r="I99">
        <v>10</v>
      </c>
      <c r="K99">
        <v>15</v>
      </c>
      <c r="L99">
        <v>1</v>
      </c>
      <c r="M99">
        <v>5</v>
      </c>
      <c r="O99">
        <v>1</v>
      </c>
      <c r="P99">
        <v>6</v>
      </c>
      <c r="Q99">
        <f t="shared" si="18"/>
        <v>50</v>
      </c>
      <c r="R99" s="189">
        <f t="shared" si="19"/>
        <v>0.1</v>
      </c>
      <c r="S99" s="189">
        <f t="shared" si="21"/>
        <v>0.04</v>
      </c>
      <c r="T99" s="189">
        <f t="shared" si="22"/>
        <v>0.08</v>
      </c>
      <c r="U99" s="189">
        <f t="shared" si="23"/>
        <v>0.02</v>
      </c>
      <c r="V99" s="189">
        <f t="shared" si="24"/>
        <v>0</v>
      </c>
      <c r="W99" s="189">
        <f t="shared" si="25"/>
        <v>0</v>
      </c>
      <c r="X99" s="189">
        <f t="shared" si="26"/>
        <v>0.2</v>
      </c>
      <c r="Y99" s="189">
        <f t="shared" si="27"/>
        <v>0</v>
      </c>
      <c r="Z99" s="189">
        <f t="shared" si="28"/>
        <v>0.3</v>
      </c>
      <c r="AA99" s="189">
        <f t="shared" si="29"/>
        <v>0.02</v>
      </c>
      <c r="AB99" s="189">
        <f t="shared" si="30"/>
        <v>0.1</v>
      </c>
      <c r="AC99" s="189">
        <f t="shared" si="31"/>
        <v>0</v>
      </c>
      <c r="AD99" s="189">
        <f t="shared" si="32"/>
        <v>0.02</v>
      </c>
      <c r="AE99" s="189">
        <f t="shared" si="33"/>
        <v>0.12</v>
      </c>
      <c r="AF99" s="189">
        <f t="shared" si="20"/>
        <v>2.6257746035080348E-3</v>
      </c>
      <c r="AG99" s="189">
        <f>town_establishments[[#This Row],[share of state establishments]]/($AF$250-$AF$249)</f>
        <v>2.7160627953718287E-3</v>
      </c>
      <c r="AH99" s="189">
        <f>town_establishments[[#This Row],[share of state establishments (no residual)]]/(INDEX(regional_establishments[share of state establishments],MATCH(town_establishments[[#This Row],[Regional Planning Commission]],regional_establishments[Regional Planning Commission],0)))</f>
        <v>6.1274509803921559E-2</v>
      </c>
    </row>
    <row r="100" spans="1:34" x14ac:dyDescent="0.25">
      <c r="A100" t="s">
        <v>312</v>
      </c>
      <c r="B100" t="str">
        <f>INDEX(town_population[Regional Planning Commission],MATCH(town_establishments[[#This Row],[Municipality]],town_population[Municipality],0))</f>
        <v>Rutland Regional Planning Commission</v>
      </c>
      <c r="D100">
        <v>1</v>
      </c>
      <c r="Q100">
        <f t="shared" si="18"/>
        <v>1</v>
      </c>
      <c r="R100" s="189">
        <f t="shared" si="19"/>
        <v>0</v>
      </c>
      <c r="S100" s="189">
        <f t="shared" si="21"/>
        <v>1</v>
      </c>
      <c r="T100" s="189">
        <f t="shared" si="22"/>
        <v>0</v>
      </c>
      <c r="U100" s="189">
        <f t="shared" si="23"/>
        <v>0</v>
      </c>
      <c r="V100" s="189">
        <f t="shared" si="24"/>
        <v>0</v>
      </c>
      <c r="W100" s="189">
        <f t="shared" si="25"/>
        <v>0</v>
      </c>
      <c r="X100" s="189">
        <f t="shared" si="26"/>
        <v>0</v>
      </c>
      <c r="Y100" s="189">
        <f t="shared" si="27"/>
        <v>0</v>
      </c>
      <c r="Z100" s="189">
        <f t="shared" si="28"/>
        <v>0</v>
      </c>
      <c r="AA100" s="189">
        <f t="shared" si="29"/>
        <v>0</v>
      </c>
      <c r="AB100" s="189">
        <f t="shared" si="30"/>
        <v>0</v>
      </c>
      <c r="AC100" s="189">
        <f t="shared" si="31"/>
        <v>0</v>
      </c>
      <c r="AD100" s="189">
        <f t="shared" si="32"/>
        <v>0</v>
      </c>
      <c r="AE100" s="189">
        <f t="shared" si="33"/>
        <v>0</v>
      </c>
      <c r="AF100" s="189">
        <f t="shared" si="20"/>
        <v>5.2515492070160695E-5</v>
      </c>
      <c r="AG100" s="189">
        <f>town_establishments[[#This Row],[share of state establishments]]/($AF$250-$AF$249)</f>
        <v>5.4321255907436576E-5</v>
      </c>
      <c r="AH100" s="189">
        <f>town_establishments[[#This Row],[share of state establishments (no residual)]]/(INDEX(regional_establishments[share of state establishments],MATCH(town_establishments[[#This Row],[Regional Planning Commission]],regional_establishments[Regional Planning Commission],0)))</f>
        <v>5.6242969628796395E-4</v>
      </c>
    </row>
    <row r="101" spans="1:34" x14ac:dyDescent="0.25">
      <c r="A101" t="s">
        <v>313</v>
      </c>
      <c r="B101" t="str">
        <f>INDEX(town_population[Regional Planning Commission],MATCH(town_establishments[[#This Row],[Municipality]],town_population[Municipality],0))</f>
        <v>Northeastern Vermont Development Association</v>
      </c>
      <c r="C101">
        <v>2</v>
      </c>
      <c r="D101">
        <v>3</v>
      </c>
      <c r="E101">
        <v>2</v>
      </c>
      <c r="F101">
        <v>2</v>
      </c>
      <c r="I101">
        <v>1</v>
      </c>
      <c r="K101">
        <v>1</v>
      </c>
      <c r="L101">
        <v>1</v>
      </c>
      <c r="O101">
        <v>1</v>
      </c>
      <c r="P101">
        <v>3</v>
      </c>
      <c r="Q101">
        <f t="shared" si="18"/>
        <v>16</v>
      </c>
      <c r="R101" s="189">
        <f t="shared" si="19"/>
        <v>0.125</v>
      </c>
      <c r="S101" s="189">
        <f t="shared" si="21"/>
        <v>0.1875</v>
      </c>
      <c r="T101" s="189">
        <f t="shared" si="22"/>
        <v>0.125</v>
      </c>
      <c r="U101" s="189">
        <f t="shared" si="23"/>
        <v>0.125</v>
      </c>
      <c r="V101" s="189">
        <f t="shared" si="24"/>
        <v>0</v>
      </c>
      <c r="W101" s="189">
        <f t="shared" si="25"/>
        <v>0</v>
      </c>
      <c r="X101" s="189">
        <f t="shared" si="26"/>
        <v>6.25E-2</v>
      </c>
      <c r="Y101" s="189">
        <f t="shared" si="27"/>
        <v>0</v>
      </c>
      <c r="Z101" s="189">
        <f t="shared" si="28"/>
        <v>6.25E-2</v>
      </c>
      <c r="AA101" s="189">
        <f t="shared" si="29"/>
        <v>6.25E-2</v>
      </c>
      <c r="AB101" s="189">
        <f t="shared" si="30"/>
        <v>0</v>
      </c>
      <c r="AC101" s="189">
        <f t="shared" si="31"/>
        <v>0</v>
      </c>
      <c r="AD101" s="189">
        <f t="shared" si="32"/>
        <v>6.25E-2</v>
      </c>
      <c r="AE101" s="189">
        <f t="shared" si="33"/>
        <v>0.1875</v>
      </c>
      <c r="AF101" s="189">
        <f t="shared" si="20"/>
        <v>8.4024787312257112E-4</v>
      </c>
      <c r="AG101" s="189">
        <f>town_establishments[[#This Row],[share of state establishments]]/($AF$250-$AF$249)</f>
        <v>8.6914009451898521E-4</v>
      </c>
      <c r="AH101" s="189">
        <f>town_establishments[[#This Row],[share of state establishments (no residual)]]/(INDEX(regional_establishments[share of state establishments],MATCH(town_establishments[[#This Row],[Regional Planning Commission]],regional_establishments[Regional Planning Commission],0)))</f>
        <v>1.0966415352981493E-2</v>
      </c>
    </row>
    <row r="102" spans="1:34" x14ac:dyDescent="0.25">
      <c r="A102" t="s">
        <v>314</v>
      </c>
      <c r="B102" t="str">
        <f>INDEX(town_population[Regional Planning Commission],MATCH(town_establishments[[#This Row],[Municipality]],town_population[Municipality],0))</f>
        <v>Northwest Regional Planning Commission</v>
      </c>
      <c r="D102">
        <v>2</v>
      </c>
      <c r="E102">
        <v>1</v>
      </c>
      <c r="G102">
        <v>1</v>
      </c>
      <c r="K102">
        <v>2</v>
      </c>
      <c r="L102">
        <v>1</v>
      </c>
      <c r="O102">
        <v>3</v>
      </c>
      <c r="P102">
        <v>1</v>
      </c>
      <c r="Q102">
        <f t="shared" si="18"/>
        <v>11</v>
      </c>
      <c r="R102" s="189">
        <f t="shared" si="19"/>
        <v>0</v>
      </c>
      <c r="S102" s="189">
        <f t="shared" si="21"/>
        <v>0.18181818181818182</v>
      </c>
      <c r="T102" s="189">
        <f t="shared" si="22"/>
        <v>9.0909090909090912E-2</v>
      </c>
      <c r="U102" s="189">
        <f t="shared" si="23"/>
        <v>0</v>
      </c>
      <c r="V102" s="189">
        <f t="shared" si="24"/>
        <v>9.0909090909090912E-2</v>
      </c>
      <c r="W102" s="189">
        <f t="shared" si="25"/>
        <v>0</v>
      </c>
      <c r="X102" s="189">
        <f t="shared" si="26"/>
        <v>0</v>
      </c>
      <c r="Y102" s="189">
        <f t="shared" si="27"/>
        <v>0</v>
      </c>
      <c r="Z102" s="189">
        <f t="shared" si="28"/>
        <v>0.18181818181818182</v>
      </c>
      <c r="AA102" s="189">
        <f t="shared" si="29"/>
        <v>9.0909090909090912E-2</v>
      </c>
      <c r="AB102" s="189">
        <f t="shared" si="30"/>
        <v>0</v>
      </c>
      <c r="AC102" s="189">
        <f t="shared" si="31"/>
        <v>0</v>
      </c>
      <c r="AD102" s="189">
        <f t="shared" si="32"/>
        <v>0.27272727272727271</v>
      </c>
      <c r="AE102" s="189">
        <f t="shared" si="33"/>
        <v>9.0909090909090912E-2</v>
      </c>
      <c r="AF102" s="189">
        <f t="shared" si="20"/>
        <v>5.7767041277176768E-4</v>
      </c>
      <c r="AG102" s="189">
        <f>town_establishments[[#This Row],[share of state establishments]]/($AF$250-$AF$249)</f>
        <v>5.9753381498180234E-4</v>
      </c>
      <c r="AH102" s="189">
        <f>town_establishments[[#This Row],[share of state establishments (no residual)]]/(INDEX(regional_establishments[share of state establishments],MATCH(town_establishments[[#This Row],[Regional Planning Commission]],regional_establishments[Regional Planning Commission],0)))</f>
        <v>1.0763209393346381E-2</v>
      </c>
    </row>
    <row r="103" spans="1:34" x14ac:dyDescent="0.25">
      <c r="A103" t="s">
        <v>315</v>
      </c>
      <c r="B103" t="str">
        <f>INDEX(town_population[Regional Planning Commission],MATCH(town_establishments[[#This Row],[Municipality]],town_population[Municipality],0))</f>
        <v>Windham Regional Commission</v>
      </c>
      <c r="C103">
        <v>1</v>
      </c>
      <c r="D103">
        <v>6</v>
      </c>
      <c r="E103">
        <v>1</v>
      </c>
      <c r="H103">
        <v>1</v>
      </c>
      <c r="I103">
        <v>5</v>
      </c>
      <c r="J103">
        <v>1</v>
      </c>
      <c r="K103">
        <v>4</v>
      </c>
      <c r="L103">
        <v>1</v>
      </c>
      <c r="O103">
        <v>4</v>
      </c>
      <c r="P103">
        <v>1</v>
      </c>
      <c r="Q103">
        <f t="shared" si="18"/>
        <v>25</v>
      </c>
      <c r="R103" s="189">
        <f t="shared" si="19"/>
        <v>0.04</v>
      </c>
      <c r="S103" s="189">
        <f t="shared" si="21"/>
        <v>0.24</v>
      </c>
      <c r="T103" s="189">
        <f t="shared" si="22"/>
        <v>0.04</v>
      </c>
      <c r="U103" s="189">
        <f t="shared" si="23"/>
        <v>0</v>
      </c>
      <c r="V103" s="189">
        <f t="shared" si="24"/>
        <v>0</v>
      </c>
      <c r="W103" s="189">
        <f t="shared" si="25"/>
        <v>0.04</v>
      </c>
      <c r="X103" s="189">
        <f t="shared" si="26"/>
        <v>0.2</v>
      </c>
      <c r="Y103" s="189">
        <f t="shared" si="27"/>
        <v>0.04</v>
      </c>
      <c r="Z103" s="189">
        <f t="shared" si="28"/>
        <v>0.16</v>
      </c>
      <c r="AA103" s="189">
        <f t="shared" si="29"/>
        <v>0.04</v>
      </c>
      <c r="AB103" s="189">
        <f t="shared" si="30"/>
        <v>0</v>
      </c>
      <c r="AC103" s="189">
        <f t="shared" si="31"/>
        <v>0</v>
      </c>
      <c r="AD103" s="189">
        <f t="shared" si="32"/>
        <v>0.16</v>
      </c>
      <c r="AE103" s="189">
        <f t="shared" si="33"/>
        <v>0.04</v>
      </c>
      <c r="AF103" s="189">
        <f t="shared" si="20"/>
        <v>1.3128873017540174E-3</v>
      </c>
      <c r="AG103" s="189">
        <f>town_establishments[[#This Row],[share of state establishments]]/($AF$250-$AF$249)</f>
        <v>1.3580313976859144E-3</v>
      </c>
      <c r="AH103" s="189">
        <f>town_establishments[[#This Row],[share of state establishments (no residual)]]/(INDEX(regional_establishments[share of state establishments],MATCH(town_establishments[[#This Row],[Regional Planning Commission]],regional_establishments[Regional Planning Commission],0)))</f>
        <v>1.6097875080489373E-2</v>
      </c>
    </row>
    <row r="104" spans="1:34" x14ac:dyDescent="0.25">
      <c r="A104" t="s">
        <v>316</v>
      </c>
      <c r="B104" t="str">
        <f>INDEX(town_population[Regional Planning Commission],MATCH(town_establishments[[#This Row],[Municipality]],town_population[Municipality],0))</f>
        <v>Northeastern Vermont Development Association</v>
      </c>
      <c r="D104">
        <v>2</v>
      </c>
      <c r="E104">
        <v>2</v>
      </c>
      <c r="I104">
        <v>2</v>
      </c>
      <c r="K104">
        <v>1</v>
      </c>
      <c r="L104">
        <v>1</v>
      </c>
      <c r="M104">
        <v>2</v>
      </c>
      <c r="O104">
        <v>4</v>
      </c>
      <c r="Q104">
        <f t="shared" si="18"/>
        <v>14</v>
      </c>
      <c r="R104" s="189">
        <f t="shared" si="19"/>
        <v>0</v>
      </c>
      <c r="S104" s="189">
        <f t="shared" si="21"/>
        <v>0.14285714285714285</v>
      </c>
      <c r="T104" s="189">
        <f t="shared" si="22"/>
        <v>0.14285714285714285</v>
      </c>
      <c r="U104" s="189">
        <f t="shared" si="23"/>
        <v>0</v>
      </c>
      <c r="V104" s="189">
        <f t="shared" si="24"/>
        <v>0</v>
      </c>
      <c r="W104" s="189">
        <f t="shared" si="25"/>
        <v>0</v>
      </c>
      <c r="X104" s="189">
        <f t="shared" si="26"/>
        <v>0.14285714285714285</v>
      </c>
      <c r="Y104" s="189">
        <f t="shared" si="27"/>
        <v>0</v>
      </c>
      <c r="Z104" s="189">
        <f t="shared" si="28"/>
        <v>7.1428571428571425E-2</v>
      </c>
      <c r="AA104" s="189">
        <f t="shared" si="29"/>
        <v>7.1428571428571425E-2</v>
      </c>
      <c r="AB104" s="189">
        <f t="shared" si="30"/>
        <v>0.14285714285714285</v>
      </c>
      <c r="AC104" s="189">
        <f t="shared" si="31"/>
        <v>0</v>
      </c>
      <c r="AD104" s="189">
        <f t="shared" si="32"/>
        <v>0.2857142857142857</v>
      </c>
      <c r="AE104" s="189">
        <f t="shared" si="33"/>
        <v>0</v>
      </c>
      <c r="AF104" s="189">
        <f t="shared" si="20"/>
        <v>7.3521688898224981E-4</v>
      </c>
      <c r="AG104" s="189">
        <f>town_establishments[[#This Row],[share of state establishments]]/($AF$250-$AF$249)</f>
        <v>7.6049758270411213E-4</v>
      </c>
      <c r="AH104" s="189">
        <f>town_establishments[[#This Row],[share of state establishments (no residual)]]/(INDEX(regional_establishments[share of state establishments],MATCH(town_establishments[[#This Row],[Regional Planning Commission]],regional_establishments[Regional Planning Commission],0)))</f>
        <v>9.5956134338588076E-3</v>
      </c>
    </row>
    <row r="105" spans="1:34" x14ac:dyDescent="0.25">
      <c r="A105" t="s">
        <v>317</v>
      </c>
      <c r="B105" t="str">
        <f>INDEX(town_population[Regional Planning Commission],MATCH(town_establishments[[#This Row],[Municipality]],town_population[Municipality],0))</f>
        <v>Chittenden County Regional Planning Commission</v>
      </c>
      <c r="C105">
        <v>6</v>
      </c>
      <c r="D105">
        <v>9</v>
      </c>
      <c r="E105">
        <v>4</v>
      </c>
      <c r="F105">
        <v>1</v>
      </c>
      <c r="G105">
        <v>4</v>
      </c>
      <c r="H105">
        <v>1</v>
      </c>
      <c r="I105">
        <v>23</v>
      </c>
      <c r="J105">
        <v>1</v>
      </c>
      <c r="K105">
        <v>7</v>
      </c>
      <c r="L105">
        <v>4</v>
      </c>
      <c r="M105">
        <v>7</v>
      </c>
      <c r="N105">
        <v>2</v>
      </c>
      <c r="O105">
        <v>3</v>
      </c>
      <c r="P105">
        <v>6</v>
      </c>
      <c r="Q105">
        <f t="shared" si="18"/>
        <v>78</v>
      </c>
      <c r="R105" s="189">
        <f t="shared" si="19"/>
        <v>7.6923076923076927E-2</v>
      </c>
      <c r="S105" s="189">
        <f t="shared" si="21"/>
        <v>0.11538461538461539</v>
      </c>
      <c r="T105" s="189">
        <f t="shared" si="22"/>
        <v>5.128205128205128E-2</v>
      </c>
      <c r="U105" s="189">
        <f t="shared" si="23"/>
        <v>1.282051282051282E-2</v>
      </c>
      <c r="V105" s="189">
        <f t="shared" si="24"/>
        <v>5.128205128205128E-2</v>
      </c>
      <c r="W105" s="189">
        <f t="shared" si="25"/>
        <v>1.282051282051282E-2</v>
      </c>
      <c r="X105" s="189">
        <f t="shared" si="26"/>
        <v>0.29487179487179488</v>
      </c>
      <c r="Y105" s="189">
        <f t="shared" si="27"/>
        <v>1.282051282051282E-2</v>
      </c>
      <c r="Z105" s="189">
        <f t="shared" si="28"/>
        <v>8.9743589743589744E-2</v>
      </c>
      <c r="AA105" s="189">
        <f t="shared" si="29"/>
        <v>5.128205128205128E-2</v>
      </c>
      <c r="AB105" s="189">
        <f t="shared" si="30"/>
        <v>8.9743589743589744E-2</v>
      </c>
      <c r="AC105" s="189">
        <f t="shared" si="31"/>
        <v>2.564102564102564E-2</v>
      </c>
      <c r="AD105" s="189">
        <f t="shared" si="32"/>
        <v>3.8461538461538464E-2</v>
      </c>
      <c r="AE105" s="189">
        <f t="shared" si="33"/>
        <v>7.6923076923076927E-2</v>
      </c>
      <c r="AF105" s="189">
        <f t="shared" si="20"/>
        <v>4.0962083814725346E-3</v>
      </c>
      <c r="AG105" s="189">
        <f>town_establishments[[#This Row],[share of state establishments]]/($AF$250-$AF$249)</f>
        <v>4.2370579607800534E-3</v>
      </c>
      <c r="AH105" s="189">
        <f>town_establishments[[#This Row],[share of state establishments (no residual)]]/(INDEX(regional_establishments[share of state establishments],MATCH(town_establishments[[#This Row],[Regional Planning Commission]],regional_establishments[Regional Planning Commission],0)))</f>
        <v>1.4393799594021039E-2</v>
      </c>
    </row>
    <row r="106" spans="1:34" x14ac:dyDescent="0.25">
      <c r="A106" t="s">
        <v>318</v>
      </c>
      <c r="B106" t="str">
        <f>INDEX(town_population[Regional Planning Commission],MATCH(town_establishments[[#This Row],[Municipality]],town_population[Municipality],0))</f>
        <v>Lamoille County Planning Commission</v>
      </c>
      <c r="C106">
        <v>6</v>
      </c>
      <c r="D106">
        <v>17</v>
      </c>
      <c r="E106">
        <v>1</v>
      </c>
      <c r="G106">
        <v>5</v>
      </c>
      <c r="I106">
        <v>7</v>
      </c>
      <c r="K106">
        <v>5</v>
      </c>
      <c r="L106">
        <v>3</v>
      </c>
      <c r="M106">
        <v>5</v>
      </c>
      <c r="O106">
        <v>9</v>
      </c>
      <c r="P106">
        <v>3</v>
      </c>
      <c r="Q106">
        <f t="shared" si="18"/>
        <v>61</v>
      </c>
      <c r="R106" s="189">
        <f t="shared" si="19"/>
        <v>9.8360655737704916E-2</v>
      </c>
      <c r="S106" s="189">
        <f t="shared" si="21"/>
        <v>0.27868852459016391</v>
      </c>
      <c r="T106" s="189">
        <f t="shared" si="22"/>
        <v>1.6393442622950821E-2</v>
      </c>
      <c r="U106" s="189">
        <f t="shared" si="23"/>
        <v>0</v>
      </c>
      <c r="V106" s="189">
        <f t="shared" si="24"/>
        <v>8.1967213114754092E-2</v>
      </c>
      <c r="W106" s="189">
        <f t="shared" si="25"/>
        <v>0</v>
      </c>
      <c r="X106" s="189">
        <f t="shared" si="26"/>
        <v>0.11475409836065574</v>
      </c>
      <c r="Y106" s="189">
        <f t="shared" si="27"/>
        <v>0</v>
      </c>
      <c r="Z106" s="189">
        <f t="shared" si="28"/>
        <v>8.1967213114754092E-2</v>
      </c>
      <c r="AA106" s="189">
        <f t="shared" si="29"/>
        <v>4.9180327868852458E-2</v>
      </c>
      <c r="AB106" s="189">
        <f t="shared" si="30"/>
        <v>8.1967213114754092E-2</v>
      </c>
      <c r="AC106" s="189">
        <f t="shared" si="31"/>
        <v>0</v>
      </c>
      <c r="AD106" s="189">
        <f t="shared" si="32"/>
        <v>0.14754098360655737</v>
      </c>
      <c r="AE106" s="189">
        <f t="shared" si="33"/>
        <v>4.9180327868852458E-2</v>
      </c>
      <c r="AF106" s="189">
        <f t="shared" si="20"/>
        <v>3.2034450162798027E-3</v>
      </c>
      <c r="AG106" s="189">
        <f>town_establishments[[#This Row],[share of state establishments]]/($AF$250-$AF$249)</f>
        <v>3.3135966103536316E-3</v>
      </c>
      <c r="AH106" s="189">
        <f>town_establishments[[#This Row],[share of state establishments (no residual)]]/(INDEX(regional_establishments[share of state establishments],MATCH(town_establishments[[#This Row],[Regional Planning Commission]],regional_establishments[Regional Planning Commission],0)))</f>
        <v>7.4754901960784312E-2</v>
      </c>
    </row>
    <row r="107" spans="1:34" x14ac:dyDescent="0.25">
      <c r="A107" t="s">
        <v>320</v>
      </c>
      <c r="B107" t="str">
        <f>INDEX(town_population[Regional Planning Commission],MATCH(town_establishments[[#This Row],[Municipality]],town_population[Municipality],0))</f>
        <v>Northeastern Vermont Development Association</v>
      </c>
      <c r="H107">
        <v>1</v>
      </c>
      <c r="K107">
        <v>2</v>
      </c>
      <c r="M107">
        <v>1</v>
      </c>
      <c r="Q107">
        <f t="shared" si="18"/>
        <v>4</v>
      </c>
      <c r="R107" s="189">
        <f t="shared" si="19"/>
        <v>0</v>
      </c>
      <c r="S107" s="189">
        <f t="shared" si="21"/>
        <v>0</v>
      </c>
      <c r="T107" s="189">
        <f t="shared" si="22"/>
        <v>0</v>
      </c>
      <c r="U107" s="189">
        <f t="shared" si="23"/>
        <v>0</v>
      </c>
      <c r="V107" s="189">
        <f t="shared" si="24"/>
        <v>0</v>
      </c>
      <c r="W107" s="189">
        <f t="shared" si="25"/>
        <v>0.25</v>
      </c>
      <c r="X107" s="189">
        <f t="shared" si="26"/>
        <v>0</v>
      </c>
      <c r="Y107" s="189">
        <f t="shared" si="27"/>
        <v>0</v>
      </c>
      <c r="Z107" s="189">
        <f t="shared" si="28"/>
        <v>0.5</v>
      </c>
      <c r="AA107" s="189">
        <f t="shared" si="29"/>
        <v>0</v>
      </c>
      <c r="AB107" s="189">
        <f t="shared" si="30"/>
        <v>0.25</v>
      </c>
      <c r="AC107" s="189">
        <f t="shared" si="31"/>
        <v>0</v>
      </c>
      <c r="AD107" s="189">
        <f t="shared" si="32"/>
        <v>0</v>
      </c>
      <c r="AE107" s="189">
        <f t="shared" si="33"/>
        <v>0</v>
      </c>
      <c r="AF107" s="189">
        <f t="shared" si="20"/>
        <v>2.1006196828064278E-4</v>
      </c>
      <c r="AG107" s="189">
        <f>town_establishments[[#This Row],[share of state establishments]]/($AF$250-$AF$249)</f>
        <v>2.172850236297463E-4</v>
      </c>
      <c r="AH107" s="189">
        <f>town_establishments[[#This Row],[share of state establishments (no residual)]]/(INDEX(regional_establishments[share of state establishments],MATCH(town_establishments[[#This Row],[Regional Planning Commission]],regional_establishments[Regional Planning Commission],0)))</f>
        <v>2.7416038382453733E-3</v>
      </c>
    </row>
    <row r="108" spans="1:34" x14ac:dyDescent="0.25">
      <c r="A108" t="s">
        <v>321</v>
      </c>
      <c r="B108" t="str">
        <f>INDEX(town_population[Regional Planning Commission],MATCH(town_establishments[[#This Row],[Municipality]],town_population[Municipality],0))</f>
        <v>Bennington County Regional Commission</v>
      </c>
      <c r="D108">
        <v>1</v>
      </c>
      <c r="G108">
        <v>1</v>
      </c>
      <c r="I108">
        <v>1</v>
      </c>
      <c r="K108">
        <v>1</v>
      </c>
      <c r="O108">
        <v>1</v>
      </c>
      <c r="P108">
        <v>1</v>
      </c>
      <c r="Q108">
        <f t="shared" si="18"/>
        <v>6</v>
      </c>
      <c r="R108" s="189">
        <f t="shared" si="19"/>
        <v>0</v>
      </c>
      <c r="S108" s="189">
        <f t="shared" si="21"/>
        <v>0.16666666666666666</v>
      </c>
      <c r="T108" s="189">
        <f t="shared" si="22"/>
        <v>0</v>
      </c>
      <c r="U108" s="189">
        <f t="shared" si="23"/>
        <v>0</v>
      </c>
      <c r="V108" s="189">
        <f t="shared" si="24"/>
        <v>0.16666666666666666</v>
      </c>
      <c r="W108" s="189">
        <f t="shared" si="25"/>
        <v>0</v>
      </c>
      <c r="X108" s="189">
        <f t="shared" si="26"/>
        <v>0.16666666666666666</v>
      </c>
      <c r="Y108" s="189">
        <f t="shared" si="27"/>
        <v>0</v>
      </c>
      <c r="Z108" s="189">
        <f t="shared" si="28"/>
        <v>0.16666666666666666</v>
      </c>
      <c r="AA108" s="189">
        <f t="shared" si="29"/>
        <v>0</v>
      </c>
      <c r="AB108" s="189">
        <f t="shared" si="30"/>
        <v>0</v>
      </c>
      <c r="AC108" s="189">
        <f t="shared" si="31"/>
        <v>0</v>
      </c>
      <c r="AD108" s="189">
        <f t="shared" si="32"/>
        <v>0.16666666666666666</v>
      </c>
      <c r="AE108" s="189">
        <f t="shared" si="33"/>
        <v>0.16666666666666666</v>
      </c>
      <c r="AF108" s="189">
        <f t="shared" si="20"/>
        <v>3.150929524209642E-4</v>
      </c>
      <c r="AG108" s="189">
        <f>town_establishments[[#This Row],[share of state establishments]]/($AF$250-$AF$249)</f>
        <v>3.2592753544461947E-4</v>
      </c>
      <c r="AH108" s="189">
        <f>town_establishments[[#This Row],[share of state establishments (no residual)]]/(INDEX(regional_establishments[share of state establishments],MATCH(town_establishments[[#This Row],[Regional Planning Commission]],regional_establishments[Regional Planning Commission],0)))</f>
        <v>5.2310374891020037E-3</v>
      </c>
    </row>
    <row r="109" spans="1:34" x14ac:dyDescent="0.25">
      <c r="A109" t="s">
        <v>322</v>
      </c>
      <c r="B109" t="str">
        <f>INDEX(town_population[Regional Planning Commission],MATCH(town_establishments[[#This Row],[Municipality]],town_population[Municipality],0))</f>
        <v>Addison County Regional Planning Commission</v>
      </c>
      <c r="C109">
        <v>2</v>
      </c>
      <c r="D109">
        <v>1</v>
      </c>
      <c r="I109">
        <v>1</v>
      </c>
      <c r="K109">
        <v>2</v>
      </c>
      <c r="L109">
        <v>1</v>
      </c>
      <c r="M109">
        <v>1</v>
      </c>
      <c r="O109">
        <v>0</v>
      </c>
      <c r="P109">
        <v>1</v>
      </c>
      <c r="Q109">
        <f t="shared" si="18"/>
        <v>9</v>
      </c>
      <c r="R109" s="189">
        <f t="shared" si="19"/>
        <v>0.22222222222222221</v>
      </c>
      <c r="S109" s="189">
        <f t="shared" si="21"/>
        <v>0.1111111111111111</v>
      </c>
      <c r="T109" s="189">
        <f t="shared" si="22"/>
        <v>0</v>
      </c>
      <c r="U109" s="189">
        <f t="shared" si="23"/>
        <v>0</v>
      </c>
      <c r="V109" s="189">
        <f t="shared" si="24"/>
        <v>0</v>
      </c>
      <c r="W109" s="189">
        <f t="shared" si="25"/>
        <v>0</v>
      </c>
      <c r="X109" s="189">
        <f t="shared" si="26"/>
        <v>0.1111111111111111</v>
      </c>
      <c r="Y109" s="189">
        <f t="shared" si="27"/>
        <v>0</v>
      </c>
      <c r="Z109" s="189">
        <f t="shared" si="28"/>
        <v>0.22222222222222221</v>
      </c>
      <c r="AA109" s="189">
        <f t="shared" si="29"/>
        <v>0.1111111111111111</v>
      </c>
      <c r="AB109" s="189">
        <f t="shared" si="30"/>
        <v>0.1111111111111111</v>
      </c>
      <c r="AC109" s="189">
        <f t="shared" si="31"/>
        <v>0</v>
      </c>
      <c r="AD109" s="189">
        <f t="shared" si="32"/>
        <v>0</v>
      </c>
      <c r="AE109" s="189">
        <f t="shared" si="33"/>
        <v>0.1111111111111111</v>
      </c>
      <c r="AF109" s="189">
        <f t="shared" si="20"/>
        <v>4.7263942863144627E-4</v>
      </c>
      <c r="AG109" s="189">
        <f>town_establishments[[#This Row],[share of state establishments]]/($AF$250-$AF$249)</f>
        <v>4.8889130316692926E-4</v>
      </c>
      <c r="AH109" s="189">
        <f>town_establishments[[#This Row],[share of state establishments (no residual)]]/(INDEX(regional_establishments[share of state establishments],MATCH(town_establishments[[#This Row],[Regional Planning Commission]],regional_establishments[Regional Planning Commission],0)))</f>
        <v>9.6153846153846177E-3</v>
      </c>
    </row>
    <row r="110" spans="1:34" x14ac:dyDescent="0.25">
      <c r="A110" t="s">
        <v>325</v>
      </c>
      <c r="B110" t="str">
        <f>INDEX(town_population[Regional Planning Commission],MATCH(town_establishments[[#This Row],[Municipality]],town_population[Municipality],0))</f>
        <v>Addison County Regional Planning Commission</v>
      </c>
      <c r="C110">
        <v>1</v>
      </c>
      <c r="D110">
        <v>1</v>
      </c>
      <c r="G110">
        <v>1</v>
      </c>
      <c r="H110">
        <v>2</v>
      </c>
      <c r="I110">
        <v>7</v>
      </c>
      <c r="K110">
        <v>3</v>
      </c>
      <c r="L110">
        <v>3</v>
      </c>
      <c r="N110">
        <v>1</v>
      </c>
      <c r="O110">
        <v>1</v>
      </c>
      <c r="P110">
        <v>3</v>
      </c>
      <c r="Q110">
        <f t="shared" si="18"/>
        <v>23</v>
      </c>
      <c r="R110" s="189">
        <f t="shared" si="19"/>
        <v>4.3478260869565216E-2</v>
      </c>
      <c r="S110" s="189">
        <f t="shared" si="21"/>
        <v>4.3478260869565216E-2</v>
      </c>
      <c r="T110" s="189">
        <f t="shared" si="22"/>
        <v>0</v>
      </c>
      <c r="U110" s="189">
        <f t="shared" si="23"/>
        <v>0</v>
      </c>
      <c r="V110" s="189">
        <f t="shared" si="24"/>
        <v>4.3478260869565216E-2</v>
      </c>
      <c r="W110" s="189">
        <f t="shared" si="25"/>
        <v>8.6956521739130432E-2</v>
      </c>
      <c r="X110" s="189">
        <f t="shared" si="26"/>
        <v>0.30434782608695654</v>
      </c>
      <c r="Y110" s="189">
        <f t="shared" si="27"/>
        <v>0</v>
      </c>
      <c r="Z110" s="189">
        <f t="shared" si="28"/>
        <v>0.13043478260869565</v>
      </c>
      <c r="AA110" s="189">
        <f t="shared" si="29"/>
        <v>0.13043478260869565</v>
      </c>
      <c r="AB110" s="189">
        <f t="shared" si="30"/>
        <v>0</v>
      </c>
      <c r="AC110" s="189">
        <f t="shared" si="31"/>
        <v>4.3478260869565216E-2</v>
      </c>
      <c r="AD110" s="189">
        <f t="shared" si="32"/>
        <v>4.3478260869565216E-2</v>
      </c>
      <c r="AE110" s="189">
        <f t="shared" si="33"/>
        <v>0.13043478260869565</v>
      </c>
      <c r="AF110" s="189">
        <f t="shared" si="20"/>
        <v>1.207856317613696E-3</v>
      </c>
      <c r="AG110" s="189">
        <f>town_establishments[[#This Row],[share of state establishments]]/($AF$250-$AF$249)</f>
        <v>1.2493888858710412E-3</v>
      </c>
      <c r="AH110" s="189">
        <f>town_establishments[[#This Row],[share of state establishments (no residual)]]/(INDEX(regional_establishments[share of state establishments],MATCH(town_establishments[[#This Row],[Regional Planning Commission]],regional_establishments[Regional Planning Commission],0)))</f>
        <v>2.4572649572649572E-2</v>
      </c>
    </row>
    <row r="111" spans="1:34" x14ac:dyDescent="0.25">
      <c r="A111" t="s">
        <v>326</v>
      </c>
      <c r="B111" t="str">
        <f>INDEX(town_population[Regional Planning Commission],MATCH(town_establishments[[#This Row],[Municipality]],town_population[Municipality],0))</f>
        <v>Windham Regional Commission</v>
      </c>
      <c r="C111">
        <v>7</v>
      </c>
      <c r="D111">
        <v>12</v>
      </c>
      <c r="E111">
        <v>4</v>
      </c>
      <c r="F111">
        <v>1</v>
      </c>
      <c r="G111">
        <v>3</v>
      </c>
      <c r="H111">
        <v>6</v>
      </c>
      <c r="I111">
        <v>9</v>
      </c>
      <c r="K111">
        <v>12</v>
      </c>
      <c r="L111">
        <v>2</v>
      </c>
      <c r="M111">
        <v>3</v>
      </c>
      <c r="N111">
        <v>3</v>
      </c>
      <c r="O111">
        <v>8</v>
      </c>
      <c r="P111">
        <v>5</v>
      </c>
      <c r="Q111">
        <f t="shared" si="18"/>
        <v>75</v>
      </c>
      <c r="R111" s="189">
        <f t="shared" si="19"/>
        <v>9.3333333333333338E-2</v>
      </c>
      <c r="S111" s="189">
        <f t="shared" si="21"/>
        <v>0.16</v>
      </c>
      <c r="T111" s="189">
        <f t="shared" si="22"/>
        <v>5.3333333333333337E-2</v>
      </c>
      <c r="U111" s="189">
        <f t="shared" si="23"/>
        <v>1.3333333333333334E-2</v>
      </c>
      <c r="V111" s="189">
        <f t="shared" si="24"/>
        <v>0.04</v>
      </c>
      <c r="W111" s="189">
        <f t="shared" si="25"/>
        <v>0.08</v>
      </c>
      <c r="X111" s="189">
        <f t="shared" si="26"/>
        <v>0.12</v>
      </c>
      <c r="Y111" s="189">
        <f t="shared" si="27"/>
        <v>0</v>
      </c>
      <c r="Z111" s="189">
        <f t="shared" si="28"/>
        <v>0.16</v>
      </c>
      <c r="AA111" s="189">
        <f t="shared" si="29"/>
        <v>2.6666666666666668E-2</v>
      </c>
      <c r="AB111" s="189">
        <f t="shared" si="30"/>
        <v>0.04</v>
      </c>
      <c r="AC111" s="189">
        <f t="shared" si="31"/>
        <v>0.04</v>
      </c>
      <c r="AD111" s="189">
        <f t="shared" si="32"/>
        <v>0.10666666666666667</v>
      </c>
      <c r="AE111" s="189">
        <f t="shared" si="33"/>
        <v>6.6666666666666666E-2</v>
      </c>
      <c r="AF111" s="189">
        <f t="shared" si="20"/>
        <v>3.9386619052620524E-3</v>
      </c>
      <c r="AG111" s="189">
        <f>town_establishments[[#This Row],[share of state establishments]]/($AF$250-$AF$249)</f>
        <v>4.0740941930577437E-3</v>
      </c>
      <c r="AH111" s="189">
        <f>town_establishments[[#This Row],[share of state establishments (no residual)]]/(INDEX(regional_establishments[share of state establishments],MATCH(town_establishments[[#This Row],[Regional Planning Commission]],regional_establishments[Regional Planning Commission],0)))</f>
        <v>4.829362524146813E-2</v>
      </c>
    </row>
    <row r="112" spans="1:34" x14ac:dyDescent="0.25">
      <c r="A112" t="s">
        <v>327</v>
      </c>
      <c r="B112" t="str">
        <f>INDEX(town_population[Regional Planning Commission],MATCH(town_establishments[[#This Row],[Municipality]],town_population[Municipality],0))</f>
        <v>Northeastern Vermont Development Association</v>
      </c>
      <c r="E112">
        <v>1</v>
      </c>
      <c r="G112">
        <v>1</v>
      </c>
      <c r="I112">
        <v>1</v>
      </c>
      <c r="L112">
        <v>1</v>
      </c>
      <c r="N112">
        <v>1</v>
      </c>
      <c r="O112">
        <v>2</v>
      </c>
      <c r="Q112">
        <f t="shared" si="18"/>
        <v>7</v>
      </c>
      <c r="R112" s="189">
        <f t="shared" si="19"/>
        <v>0</v>
      </c>
      <c r="S112" s="189">
        <f t="shared" si="21"/>
        <v>0</v>
      </c>
      <c r="T112" s="189">
        <f t="shared" si="22"/>
        <v>0.14285714285714285</v>
      </c>
      <c r="U112" s="189">
        <f t="shared" si="23"/>
        <v>0</v>
      </c>
      <c r="V112" s="189">
        <f t="shared" si="24"/>
        <v>0.14285714285714285</v>
      </c>
      <c r="W112" s="189">
        <f t="shared" si="25"/>
        <v>0</v>
      </c>
      <c r="X112" s="189">
        <f t="shared" si="26"/>
        <v>0.14285714285714285</v>
      </c>
      <c r="Y112" s="189">
        <f t="shared" si="27"/>
        <v>0</v>
      </c>
      <c r="Z112" s="189">
        <f t="shared" si="28"/>
        <v>0</v>
      </c>
      <c r="AA112" s="189">
        <f t="shared" si="29"/>
        <v>0.14285714285714285</v>
      </c>
      <c r="AB112" s="189">
        <f t="shared" si="30"/>
        <v>0</v>
      </c>
      <c r="AC112" s="189">
        <f t="shared" si="31"/>
        <v>0.14285714285714285</v>
      </c>
      <c r="AD112" s="189">
        <f t="shared" si="32"/>
        <v>0.2857142857142857</v>
      </c>
      <c r="AE112" s="189">
        <f t="shared" si="33"/>
        <v>0</v>
      </c>
      <c r="AF112" s="189">
        <f t="shared" si="20"/>
        <v>3.676084444911249E-4</v>
      </c>
      <c r="AG112" s="189">
        <f>town_establishments[[#This Row],[share of state establishments]]/($AF$250-$AF$249)</f>
        <v>3.8024879135205606E-4</v>
      </c>
      <c r="AH112" s="189">
        <f>town_establishments[[#This Row],[share of state establishments (no residual)]]/(INDEX(regional_establishments[share of state establishments],MATCH(town_establishments[[#This Row],[Regional Planning Commission]],regional_establishments[Regional Planning Commission],0)))</f>
        <v>4.7978067169294038E-3</v>
      </c>
    </row>
    <row r="113" spans="1:34" x14ac:dyDescent="0.25">
      <c r="A113" t="s">
        <v>328</v>
      </c>
      <c r="B113" t="str">
        <f>INDEX(town_population[Regional Planning Commission],MATCH(town_establishments[[#This Row],[Municipality]],town_population[Municipality],0))</f>
        <v>Southern Windsor County Regional Planning Commission</v>
      </c>
      <c r="C113">
        <v>4</v>
      </c>
      <c r="D113">
        <v>26</v>
      </c>
      <c r="E113">
        <v>1</v>
      </c>
      <c r="F113">
        <v>3</v>
      </c>
      <c r="G113">
        <v>6</v>
      </c>
      <c r="H113">
        <v>14</v>
      </c>
      <c r="I113">
        <v>11</v>
      </c>
      <c r="K113">
        <v>4</v>
      </c>
      <c r="L113">
        <v>2</v>
      </c>
      <c r="M113">
        <v>6</v>
      </c>
      <c r="O113">
        <v>24</v>
      </c>
      <c r="P113">
        <v>10</v>
      </c>
      <c r="Q113">
        <f t="shared" si="18"/>
        <v>111</v>
      </c>
      <c r="R113" s="189">
        <f t="shared" si="19"/>
        <v>3.6036036036036036E-2</v>
      </c>
      <c r="S113" s="189">
        <f t="shared" si="21"/>
        <v>0.23423423423423423</v>
      </c>
      <c r="T113" s="189">
        <f t="shared" si="22"/>
        <v>9.0090090090090089E-3</v>
      </c>
      <c r="U113" s="189">
        <f t="shared" si="23"/>
        <v>2.7027027027027029E-2</v>
      </c>
      <c r="V113" s="189">
        <f t="shared" si="24"/>
        <v>5.4054054054054057E-2</v>
      </c>
      <c r="W113" s="189">
        <f t="shared" si="25"/>
        <v>0.12612612612612611</v>
      </c>
      <c r="X113" s="189">
        <f t="shared" si="26"/>
        <v>9.90990990990991E-2</v>
      </c>
      <c r="Y113" s="189">
        <f t="shared" si="27"/>
        <v>0</v>
      </c>
      <c r="Z113" s="189">
        <f t="shared" si="28"/>
        <v>3.6036036036036036E-2</v>
      </c>
      <c r="AA113" s="189">
        <f t="shared" si="29"/>
        <v>1.8018018018018018E-2</v>
      </c>
      <c r="AB113" s="189">
        <f t="shared" si="30"/>
        <v>5.4054054054054057E-2</v>
      </c>
      <c r="AC113" s="189">
        <f t="shared" si="31"/>
        <v>0</v>
      </c>
      <c r="AD113" s="189">
        <f t="shared" si="32"/>
        <v>0.21621621621621623</v>
      </c>
      <c r="AE113" s="189">
        <f t="shared" si="33"/>
        <v>9.0090090090090086E-2</v>
      </c>
      <c r="AF113" s="189">
        <f t="shared" si="20"/>
        <v>5.8292196197878374E-3</v>
      </c>
      <c r="AG113" s="189">
        <f>town_establishments[[#This Row],[share of state establishments]]/($AF$250-$AF$249)</f>
        <v>6.0296594057254608E-3</v>
      </c>
      <c r="AH113" s="189">
        <f>town_establishments[[#This Row],[share of state establishments (no residual)]]/(INDEX(regional_establishments[share of state establishments],MATCH(town_establishments[[#This Row],[Regional Planning Commission]],regional_establishments[Regional Planning Commission],0)))</f>
        <v>0.17619047619047626</v>
      </c>
    </row>
    <row r="114" spans="1:34" x14ac:dyDescent="0.25">
      <c r="A114" t="s">
        <v>329</v>
      </c>
      <c r="B114" t="str">
        <f>INDEX(town_population[Regional Planning Commission],MATCH(town_establishments[[#This Row],[Municipality]],town_population[Municipality],0))</f>
        <v>Northeastern Vermont Development Association</v>
      </c>
      <c r="C114">
        <v>1</v>
      </c>
      <c r="D114">
        <v>3</v>
      </c>
      <c r="E114">
        <v>1</v>
      </c>
      <c r="I114">
        <v>1</v>
      </c>
      <c r="J114">
        <v>1</v>
      </c>
      <c r="K114">
        <v>3</v>
      </c>
      <c r="L114">
        <v>1</v>
      </c>
      <c r="M114">
        <v>2</v>
      </c>
      <c r="P114">
        <v>2</v>
      </c>
      <c r="Q114">
        <f t="shared" si="18"/>
        <v>15</v>
      </c>
      <c r="R114" s="189">
        <f t="shared" si="19"/>
        <v>6.6666666666666666E-2</v>
      </c>
      <c r="S114" s="189">
        <f t="shared" si="21"/>
        <v>0.2</v>
      </c>
      <c r="T114" s="189">
        <f t="shared" si="22"/>
        <v>6.6666666666666666E-2</v>
      </c>
      <c r="U114" s="189">
        <f t="shared" si="23"/>
        <v>0</v>
      </c>
      <c r="V114" s="189">
        <f t="shared" si="24"/>
        <v>0</v>
      </c>
      <c r="W114" s="189">
        <f t="shared" si="25"/>
        <v>0</v>
      </c>
      <c r="X114" s="189">
        <f t="shared" si="26"/>
        <v>6.6666666666666666E-2</v>
      </c>
      <c r="Y114" s="189">
        <f t="shared" si="27"/>
        <v>6.6666666666666666E-2</v>
      </c>
      <c r="Z114" s="189">
        <f t="shared" si="28"/>
        <v>0.2</v>
      </c>
      <c r="AA114" s="189">
        <f t="shared" si="29"/>
        <v>6.6666666666666666E-2</v>
      </c>
      <c r="AB114" s="189">
        <f t="shared" si="30"/>
        <v>0.13333333333333333</v>
      </c>
      <c r="AC114" s="189">
        <f t="shared" si="31"/>
        <v>0</v>
      </c>
      <c r="AD114" s="189">
        <f t="shared" si="32"/>
        <v>0</v>
      </c>
      <c r="AE114" s="189">
        <f t="shared" si="33"/>
        <v>0.13333333333333333</v>
      </c>
      <c r="AF114" s="189">
        <f t="shared" si="20"/>
        <v>7.8773238105241041E-4</v>
      </c>
      <c r="AG114" s="189">
        <f>town_establishments[[#This Row],[share of state establishments]]/($AF$250-$AF$249)</f>
        <v>8.1481883861154862E-4</v>
      </c>
      <c r="AH114" s="189">
        <f>town_establishments[[#This Row],[share of state establishments (no residual)]]/(INDEX(regional_establishments[share of state establishments],MATCH(town_establishments[[#This Row],[Regional Planning Commission]],regional_establishments[Regional Planning Commission],0)))</f>
        <v>1.0281014393420149E-2</v>
      </c>
    </row>
    <row r="115" spans="1:34" x14ac:dyDescent="0.25">
      <c r="A115" t="s">
        <v>330</v>
      </c>
      <c r="B115" t="str">
        <f>INDEX(town_population[Regional Planning Commission],MATCH(town_establishments[[#This Row],[Municipality]],town_population[Municipality],0))</f>
        <v>Northeastern Vermont Development Association</v>
      </c>
      <c r="C115">
        <v>8</v>
      </c>
      <c r="D115">
        <v>31</v>
      </c>
      <c r="E115">
        <v>3</v>
      </c>
      <c r="F115">
        <v>2</v>
      </c>
      <c r="G115">
        <v>8</v>
      </c>
      <c r="H115">
        <v>6</v>
      </c>
      <c r="I115">
        <v>11</v>
      </c>
      <c r="J115">
        <v>1</v>
      </c>
      <c r="K115">
        <v>10</v>
      </c>
      <c r="L115">
        <v>6</v>
      </c>
      <c r="M115">
        <v>18</v>
      </c>
      <c r="N115">
        <v>2</v>
      </c>
      <c r="O115">
        <v>23</v>
      </c>
      <c r="P115">
        <v>15</v>
      </c>
      <c r="Q115">
        <f t="shared" si="18"/>
        <v>144</v>
      </c>
      <c r="R115" s="189">
        <f t="shared" si="19"/>
        <v>5.5555555555555552E-2</v>
      </c>
      <c r="S115" s="189">
        <f t="shared" si="21"/>
        <v>0.21527777777777779</v>
      </c>
      <c r="T115" s="189">
        <f t="shared" si="22"/>
        <v>2.0833333333333332E-2</v>
      </c>
      <c r="U115" s="189">
        <f t="shared" si="23"/>
        <v>1.3888888888888888E-2</v>
      </c>
      <c r="V115" s="189">
        <f t="shared" si="24"/>
        <v>5.5555555555555552E-2</v>
      </c>
      <c r="W115" s="189">
        <f t="shared" si="25"/>
        <v>4.1666666666666664E-2</v>
      </c>
      <c r="X115" s="189">
        <f t="shared" si="26"/>
        <v>7.6388888888888895E-2</v>
      </c>
      <c r="Y115" s="189">
        <f t="shared" si="27"/>
        <v>6.9444444444444441E-3</v>
      </c>
      <c r="Z115" s="189">
        <f t="shared" si="28"/>
        <v>6.9444444444444448E-2</v>
      </c>
      <c r="AA115" s="189">
        <f t="shared" si="29"/>
        <v>4.1666666666666664E-2</v>
      </c>
      <c r="AB115" s="189">
        <f t="shared" si="30"/>
        <v>0.125</v>
      </c>
      <c r="AC115" s="189">
        <f t="shared" si="31"/>
        <v>1.3888888888888888E-2</v>
      </c>
      <c r="AD115" s="189">
        <f t="shared" si="32"/>
        <v>0.15972222222222221</v>
      </c>
      <c r="AE115" s="189">
        <f t="shared" si="33"/>
        <v>0.10416666666666667</v>
      </c>
      <c r="AF115" s="189">
        <f t="shared" si="20"/>
        <v>7.5622308581031403E-3</v>
      </c>
      <c r="AG115" s="189">
        <f>town_establishments[[#This Row],[share of state establishments]]/($AF$250-$AF$249)</f>
        <v>7.8222608506708681E-3</v>
      </c>
      <c r="AH115" s="189">
        <f>town_establishments[[#This Row],[share of state establishments (no residual)]]/(INDEX(regional_establishments[share of state establishments],MATCH(town_establishments[[#This Row],[Regional Planning Commission]],regional_establishments[Regional Planning Commission],0)))</f>
        <v>9.8697738176833458E-2</v>
      </c>
    </row>
    <row r="116" spans="1:34" x14ac:dyDescent="0.25">
      <c r="A116" t="s">
        <v>331</v>
      </c>
      <c r="B116" t="str">
        <f>INDEX(town_population[Regional Planning Commission],MATCH(town_establishments[[#This Row],[Municipality]],town_population[Municipality],0))</f>
        <v>Northeastern Vermont Development Association</v>
      </c>
      <c r="E116">
        <v>1</v>
      </c>
      <c r="L116">
        <v>1</v>
      </c>
      <c r="M116">
        <v>1</v>
      </c>
      <c r="P116">
        <v>1</v>
      </c>
      <c r="Q116">
        <f t="shared" si="18"/>
        <v>4</v>
      </c>
      <c r="R116" s="189">
        <f t="shared" si="19"/>
        <v>0</v>
      </c>
      <c r="S116" s="189">
        <f t="shared" si="21"/>
        <v>0</v>
      </c>
      <c r="T116" s="189">
        <f t="shared" si="22"/>
        <v>0.25</v>
      </c>
      <c r="U116" s="189">
        <f t="shared" si="23"/>
        <v>0</v>
      </c>
      <c r="V116" s="189">
        <f t="shared" si="24"/>
        <v>0</v>
      </c>
      <c r="W116" s="189">
        <f t="shared" si="25"/>
        <v>0</v>
      </c>
      <c r="X116" s="189">
        <f t="shared" si="26"/>
        <v>0</v>
      </c>
      <c r="Y116" s="189">
        <f t="shared" si="27"/>
        <v>0</v>
      </c>
      <c r="Z116" s="189">
        <f t="shared" si="28"/>
        <v>0</v>
      </c>
      <c r="AA116" s="189">
        <f t="shared" si="29"/>
        <v>0.25</v>
      </c>
      <c r="AB116" s="189">
        <f t="shared" si="30"/>
        <v>0.25</v>
      </c>
      <c r="AC116" s="189">
        <f t="shared" si="31"/>
        <v>0</v>
      </c>
      <c r="AD116" s="189">
        <f t="shared" si="32"/>
        <v>0</v>
      </c>
      <c r="AE116" s="189">
        <f t="shared" si="33"/>
        <v>0.25</v>
      </c>
      <c r="AF116" s="189">
        <f t="shared" si="20"/>
        <v>2.1006196828064278E-4</v>
      </c>
      <c r="AG116" s="189">
        <f>town_establishments[[#This Row],[share of state establishments]]/($AF$250-$AF$249)</f>
        <v>2.172850236297463E-4</v>
      </c>
      <c r="AH116" s="189">
        <f>town_establishments[[#This Row],[share of state establishments (no residual)]]/(INDEX(regional_establishments[share of state establishments],MATCH(town_establishments[[#This Row],[Regional Planning Commission]],regional_establishments[Regional Planning Commission],0)))</f>
        <v>2.7416038382453733E-3</v>
      </c>
    </row>
    <row r="117" spans="1:34" x14ac:dyDescent="0.25">
      <c r="A117" t="s">
        <v>332</v>
      </c>
      <c r="B117" t="str">
        <f>INDEX(town_population[Regional Planning Commission],MATCH(town_establishments[[#This Row],[Municipality]],town_population[Municipality],0))</f>
        <v>Bennington County Regional Commission</v>
      </c>
      <c r="C117">
        <v>15</v>
      </c>
      <c r="D117">
        <v>93</v>
      </c>
      <c r="E117">
        <v>4</v>
      </c>
      <c r="F117">
        <v>7</v>
      </c>
      <c r="G117">
        <v>22</v>
      </c>
      <c r="H117">
        <v>18</v>
      </c>
      <c r="I117">
        <v>66</v>
      </c>
      <c r="J117">
        <v>3</v>
      </c>
      <c r="K117">
        <v>21</v>
      </c>
      <c r="L117">
        <v>7</v>
      </c>
      <c r="M117">
        <v>28</v>
      </c>
      <c r="N117">
        <v>13</v>
      </c>
      <c r="O117">
        <v>49</v>
      </c>
      <c r="P117">
        <v>31</v>
      </c>
      <c r="Q117">
        <f t="shared" si="18"/>
        <v>377</v>
      </c>
      <c r="R117" s="189">
        <f t="shared" si="19"/>
        <v>3.9787798408488062E-2</v>
      </c>
      <c r="S117" s="189">
        <f t="shared" si="21"/>
        <v>0.24668435013262599</v>
      </c>
      <c r="T117" s="189">
        <f t="shared" si="22"/>
        <v>1.0610079575596816E-2</v>
      </c>
      <c r="U117" s="189">
        <f t="shared" si="23"/>
        <v>1.8567639257294429E-2</v>
      </c>
      <c r="V117" s="189">
        <f t="shared" si="24"/>
        <v>5.8355437665782495E-2</v>
      </c>
      <c r="W117" s="189">
        <f t="shared" si="25"/>
        <v>4.7745358090185673E-2</v>
      </c>
      <c r="X117" s="189">
        <f t="shared" si="26"/>
        <v>0.17506631299734748</v>
      </c>
      <c r="Y117" s="189">
        <f t="shared" si="27"/>
        <v>7.9575596816976128E-3</v>
      </c>
      <c r="Z117" s="189">
        <f t="shared" si="28"/>
        <v>5.5702917771883291E-2</v>
      </c>
      <c r="AA117" s="189">
        <f t="shared" si="29"/>
        <v>1.8567639257294429E-2</v>
      </c>
      <c r="AB117" s="189">
        <f t="shared" si="30"/>
        <v>7.4270557029177717E-2</v>
      </c>
      <c r="AC117" s="189">
        <f t="shared" si="31"/>
        <v>3.4482758620689655E-2</v>
      </c>
      <c r="AD117" s="189">
        <f t="shared" si="32"/>
        <v>0.129973474801061</v>
      </c>
      <c r="AE117" s="189">
        <f t="shared" si="33"/>
        <v>8.2228116710875335E-2</v>
      </c>
      <c r="AF117" s="189">
        <f t="shared" si="20"/>
        <v>1.9798340510450582E-2</v>
      </c>
      <c r="AG117" s="189">
        <f>town_establishments[[#This Row],[share of state establishments]]/($AF$250-$AF$249)</f>
        <v>2.0479113477103589E-2</v>
      </c>
      <c r="AH117" s="189">
        <f>town_establishments[[#This Row],[share of state establishments (no residual)]]/(INDEX(regional_establishments[share of state establishments],MATCH(town_establishments[[#This Row],[Regional Planning Commission]],regional_establishments[Regional Planning Commission],0)))</f>
        <v>0.32868352223190922</v>
      </c>
    </row>
    <row r="118" spans="1:34" x14ac:dyDescent="0.25">
      <c r="A118" t="s">
        <v>333</v>
      </c>
      <c r="B118" t="str">
        <f>INDEX(town_population[Regional Planning Commission],MATCH(town_establishments[[#This Row],[Municipality]],town_population[Municipality],0))</f>
        <v>Windham Regional Commission</v>
      </c>
      <c r="C118">
        <v>1</v>
      </c>
      <c r="D118">
        <v>3</v>
      </c>
      <c r="E118">
        <v>1</v>
      </c>
      <c r="F118">
        <v>1</v>
      </c>
      <c r="I118">
        <v>1</v>
      </c>
      <c r="K118">
        <v>2</v>
      </c>
      <c r="L118">
        <v>2</v>
      </c>
      <c r="M118">
        <v>1</v>
      </c>
      <c r="O118">
        <v>2</v>
      </c>
      <c r="P118">
        <v>3</v>
      </c>
      <c r="Q118">
        <f t="shared" si="18"/>
        <v>17</v>
      </c>
      <c r="R118" s="189">
        <f t="shared" si="19"/>
        <v>5.8823529411764705E-2</v>
      </c>
      <c r="S118" s="189">
        <f t="shared" si="21"/>
        <v>0.17647058823529413</v>
      </c>
      <c r="T118" s="189">
        <f t="shared" si="22"/>
        <v>5.8823529411764705E-2</v>
      </c>
      <c r="U118" s="189">
        <f t="shared" si="23"/>
        <v>5.8823529411764705E-2</v>
      </c>
      <c r="V118" s="189">
        <f t="shared" si="24"/>
        <v>0</v>
      </c>
      <c r="W118" s="189">
        <f t="shared" si="25"/>
        <v>0</v>
      </c>
      <c r="X118" s="189">
        <f t="shared" si="26"/>
        <v>5.8823529411764705E-2</v>
      </c>
      <c r="Y118" s="189">
        <f t="shared" si="27"/>
        <v>0</v>
      </c>
      <c r="Z118" s="189">
        <f t="shared" si="28"/>
        <v>0.11764705882352941</v>
      </c>
      <c r="AA118" s="189">
        <f t="shared" si="29"/>
        <v>0.11764705882352941</v>
      </c>
      <c r="AB118" s="189">
        <f t="shared" si="30"/>
        <v>5.8823529411764705E-2</v>
      </c>
      <c r="AC118" s="189">
        <f t="shared" si="31"/>
        <v>0</v>
      </c>
      <c r="AD118" s="189">
        <f t="shared" si="32"/>
        <v>0.11764705882352941</v>
      </c>
      <c r="AE118" s="189">
        <f t="shared" si="33"/>
        <v>0.17647058823529413</v>
      </c>
      <c r="AF118" s="189">
        <f t="shared" si="20"/>
        <v>8.9276336519273183E-4</v>
      </c>
      <c r="AG118" s="189">
        <f>town_establishments[[#This Row],[share of state establishments]]/($AF$250-$AF$249)</f>
        <v>9.2346135042642181E-4</v>
      </c>
      <c r="AH118" s="189">
        <f>town_establishments[[#This Row],[share of state establishments (no residual)]]/(INDEX(regional_establishments[share of state establishments],MATCH(town_establishments[[#This Row],[Regional Planning Commission]],regional_establishments[Regional Planning Commission],0)))</f>
        <v>1.0946555054732774E-2</v>
      </c>
    </row>
    <row r="119" spans="1:34" x14ac:dyDescent="0.25">
      <c r="A119" t="s">
        <v>334</v>
      </c>
      <c r="B119" t="str">
        <f>INDEX(town_population[Regional Planning Commission],MATCH(town_establishments[[#This Row],[Municipality]],town_population[Municipality],0))</f>
        <v>Central Vermont Regional Planning Commission</v>
      </c>
      <c r="C119">
        <v>0</v>
      </c>
      <c r="D119">
        <v>3</v>
      </c>
      <c r="E119">
        <v>1</v>
      </c>
      <c r="F119">
        <v>0</v>
      </c>
      <c r="I119">
        <v>3</v>
      </c>
      <c r="K119">
        <v>2</v>
      </c>
      <c r="L119">
        <v>1</v>
      </c>
      <c r="N119">
        <v>1</v>
      </c>
      <c r="O119">
        <v>1</v>
      </c>
      <c r="P119">
        <v>1</v>
      </c>
      <c r="Q119">
        <f t="shared" si="18"/>
        <v>13</v>
      </c>
      <c r="R119" s="189">
        <f t="shared" si="19"/>
        <v>0</v>
      </c>
      <c r="S119" s="189">
        <f t="shared" si="21"/>
        <v>0.23076923076923078</v>
      </c>
      <c r="T119" s="189">
        <f t="shared" si="22"/>
        <v>7.6923076923076927E-2</v>
      </c>
      <c r="U119" s="189">
        <f t="shared" si="23"/>
        <v>0</v>
      </c>
      <c r="V119" s="189">
        <f t="shared" si="24"/>
        <v>0</v>
      </c>
      <c r="W119" s="189">
        <f t="shared" si="25"/>
        <v>0</v>
      </c>
      <c r="X119" s="189">
        <f t="shared" si="26"/>
        <v>0.23076923076923078</v>
      </c>
      <c r="Y119" s="189">
        <f t="shared" si="27"/>
        <v>0</v>
      </c>
      <c r="Z119" s="189">
        <f t="shared" si="28"/>
        <v>0.15384615384615385</v>
      </c>
      <c r="AA119" s="189">
        <f t="shared" si="29"/>
        <v>7.6923076923076927E-2</v>
      </c>
      <c r="AB119" s="189">
        <f t="shared" si="30"/>
        <v>0</v>
      </c>
      <c r="AC119" s="189">
        <f t="shared" si="31"/>
        <v>7.6923076923076927E-2</v>
      </c>
      <c r="AD119" s="189">
        <f t="shared" si="32"/>
        <v>7.6923076923076927E-2</v>
      </c>
      <c r="AE119" s="189">
        <f t="shared" si="33"/>
        <v>7.6923076923076927E-2</v>
      </c>
      <c r="AF119" s="189">
        <f t="shared" si="20"/>
        <v>6.827013969120891E-4</v>
      </c>
      <c r="AG119" s="189">
        <f>town_establishments[[#This Row],[share of state establishments]]/($AF$250-$AF$249)</f>
        <v>7.0617632679667553E-4</v>
      </c>
      <c r="AH119" s="189">
        <f>town_establishments[[#This Row],[share of state establishments (no residual)]]/(INDEX(regional_establishments[share of state establishments],MATCH(town_establishments[[#This Row],[Regional Planning Commission]],regional_establishments[Regional Planning Commission],0)))</f>
        <v>6.407097092163627E-3</v>
      </c>
    </row>
    <row r="120" spans="1:34" x14ac:dyDescent="0.25">
      <c r="A120" t="s">
        <v>335</v>
      </c>
      <c r="B120" t="str">
        <f>INDEX(town_population[Regional Planning Commission],MATCH(town_establishments[[#This Row],[Municipality]],town_population[Municipality],0))</f>
        <v>Rutland Regional Planning Commission</v>
      </c>
      <c r="C120">
        <v>1</v>
      </c>
      <c r="D120">
        <v>5</v>
      </c>
      <c r="E120">
        <v>1</v>
      </c>
      <c r="H120">
        <v>1</v>
      </c>
      <c r="I120">
        <v>8</v>
      </c>
      <c r="K120">
        <v>3</v>
      </c>
      <c r="O120">
        <v>6</v>
      </c>
      <c r="P120">
        <v>1</v>
      </c>
      <c r="Q120">
        <f t="shared" si="18"/>
        <v>26</v>
      </c>
      <c r="R120" s="189">
        <f t="shared" si="19"/>
        <v>3.8461538461538464E-2</v>
      </c>
      <c r="S120" s="189">
        <f t="shared" si="21"/>
        <v>0.19230769230769232</v>
      </c>
      <c r="T120" s="189">
        <f t="shared" si="22"/>
        <v>3.8461538461538464E-2</v>
      </c>
      <c r="U120" s="189">
        <f t="shared" si="23"/>
        <v>0</v>
      </c>
      <c r="V120" s="189">
        <f t="shared" si="24"/>
        <v>0</v>
      </c>
      <c r="W120" s="189">
        <f t="shared" si="25"/>
        <v>3.8461538461538464E-2</v>
      </c>
      <c r="X120" s="189">
        <f t="shared" si="26"/>
        <v>0.30769230769230771</v>
      </c>
      <c r="Y120" s="189">
        <f t="shared" si="27"/>
        <v>0</v>
      </c>
      <c r="Z120" s="189">
        <f t="shared" si="28"/>
        <v>0.11538461538461539</v>
      </c>
      <c r="AA120" s="189">
        <f t="shared" si="29"/>
        <v>0</v>
      </c>
      <c r="AB120" s="189">
        <f t="shared" si="30"/>
        <v>0</v>
      </c>
      <c r="AC120" s="189">
        <f t="shared" si="31"/>
        <v>0</v>
      </c>
      <c r="AD120" s="189">
        <f t="shared" si="32"/>
        <v>0.23076923076923078</v>
      </c>
      <c r="AE120" s="189">
        <f t="shared" si="33"/>
        <v>3.8461538461538464E-2</v>
      </c>
      <c r="AF120" s="189">
        <f t="shared" si="20"/>
        <v>1.3654027938241782E-3</v>
      </c>
      <c r="AG120" s="189">
        <f>town_establishments[[#This Row],[share of state establishments]]/($AF$250-$AF$249)</f>
        <v>1.4123526535933511E-3</v>
      </c>
      <c r="AH120" s="189">
        <f>town_establishments[[#This Row],[share of state establishments (no residual)]]/(INDEX(regional_establishments[share of state establishments],MATCH(town_establishments[[#This Row],[Regional Planning Commission]],regional_establishments[Regional Planning Commission],0)))</f>
        <v>1.4623172103487063E-2</v>
      </c>
    </row>
    <row r="121" spans="1:34" x14ac:dyDescent="0.25">
      <c r="A121" t="s">
        <v>336</v>
      </c>
      <c r="B121" t="str">
        <f>INDEX(town_population[Regional Planning Commission],MATCH(town_establishments[[#This Row],[Municipality]],town_population[Municipality],0))</f>
        <v>Addison County Regional Planning Commission</v>
      </c>
      <c r="C121">
        <v>12</v>
      </c>
      <c r="D121">
        <v>81</v>
      </c>
      <c r="E121">
        <v>5</v>
      </c>
      <c r="F121">
        <v>8</v>
      </c>
      <c r="G121">
        <v>20</v>
      </c>
      <c r="H121">
        <v>14</v>
      </c>
      <c r="I121">
        <v>50</v>
      </c>
      <c r="J121">
        <v>1</v>
      </c>
      <c r="K121">
        <v>16</v>
      </c>
      <c r="L121">
        <v>9</v>
      </c>
      <c r="M121">
        <v>75</v>
      </c>
      <c r="N121">
        <v>8</v>
      </c>
      <c r="O121">
        <v>29</v>
      </c>
      <c r="P121">
        <v>42</v>
      </c>
      <c r="Q121">
        <f t="shared" si="18"/>
        <v>370</v>
      </c>
      <c r="R121" s="189">
        <f t="shared" si="19"/>
        <v>3.2432432432432434E-2</v>
      </c>
      <c r="S121" s="189">
        <f t="shared" si="21"/>
        <v>0.21891891891891893</v>
      </c>
      <c r="T121" s="189">
        <f t="shared" si="22"/>
        <v>1.3513513513513514E-2</v>
      </c>
      <c r="U121" s="189">
        <f t="shared" si="23"/>
        <v>2.1621621621621623E-2</v>
      </c>
      <c r="V121" s="189">
        <f t="shared" si="24"/>
        <v>5.4054054054054057E-2</v>
      </c>
      <c r="W121" s="189">
        <f t="shared" si="25"/>
        <v>3.783783783783784E-2</v>
      </c>
      <c r="X121" s="189">
        <f t="shared" si="26"/>
        <v>0.13513513513513514</v>
      </c>
      <c r="Y121" s="189">
        <f t="shared" si="27"/>
        <v>2.7027027027027029E-3</v>
      </c>
      <c r="Z121" s="189">
        <f t="shared" si="28"/>
        <v>4.3243243243243246E-2</v>
      </c>
      <c r="AA121" s="189">
        <f t="shared" si="29"/>
        <v>2.4324324324324326E-2</v>
      </c>
      <c r="AB121" s="189">
        <f t="shared" si="30"/>
        <v>0.20270270270270271</v>
      </c>
      <c r="AC121" s="189">
        <f t="shared" si="31"/>
        <v>2.1621621621621623E-2</v>
      </c>
      <c r="AD121" s="189">
        <f t="shared" si="32"/>
        <v>7.8378378378378383E-2</v>
      </c>
      <c r="AE121" s="189">
        <f t="shared" si="33"/>
        <v>0.11351351351351352</v>
      </c>
      <c r="AF121" s="189">
        <f t="shared" si="20"/>
        <v>1.9430732065959459E-2</v>
      </c>
      <c r="AG121" s="189">
        <f>town_establishments[[#This Row],[share of state establishments]]/($AF$250-$AF$249)</f>
        <v>2.0098864685751536E-2</v>
      </c>
      <c r="AH121" s="189">
        <f>town_establishments[[#This Row],[share of state establishments (no residual)]]/(INDEX(regional_establishments[share of state establishments],MATCH(town_establishments[[#This Row],[Regional Planning Commission]],regional_establishments[Regional Planning Commission],0)))</f>
        <v>0.39529914529914539</v>
      </c>
    </row>
    <row r="122" spans="1:34" x14ac:dyDescent="0.25">
      <c r="A122" t="s">
        <v>337</v>
      </c>
      <c r="B122" t="str">
        <f>INDEX(town_population[Regional Planning Commission],MATCH(town_establishments[[#This Row],[Municipality]],town_population[Municipality],0))</f>
        <v>Central Vermont Regional Planning Commission</v>
      </c>
      <c r="C122">
        <v>7</v>
      </c>
      <c r="D122">
        <v>3</v>
      </c>
      <c r="E122">
        <v>1</v>
      </c>
      <c r="F122">
        <v>5</v>
      </c>
      <c r="H122">
        <v>1</v>
      </c>
      <c r="I122">
        <v>14</v>
      </c>
      <c r="J122">
        <v>0</v>
      </c>
      <c r="K122">
        <v>3</v>
      </c>
      <c r="L122">
        <v>1</v>
      </c>
      <c r="M122">
        <v>1</v>
      </c>
      <c r="P122">
        <v>2</v>
      </c>
      <c r="Q122">
        <f t="shared" si="18"/>
        <v>38</v>
      </c>
      <c r="R122" s="189">
        <f t="shared" si="19"/>
        <v>0.18421052631578946</v>
      </c>
      <c r="S122" s="189">
        <f t="shared" si="21"/>
        <v>7.8947368421052627E-2</v>
      </c>
      <c r="T122" s="189">
        <f t="shared" si="22"/>
        <v>2.6315789473684209E-2</v>
      </c>
      <c r="U122" s="189">
        <f t="shared" si="23"/>
        <v>0.13157894736842105</v>
      </c>
      <c r="V122" s="189">
        <f t="shared" si="24"/>
        <v>0</v>
      </c>
      <c r="W122" s="189">
        <f t="shared" si="25"/>
        <v>2.6315789473684209E-2</v>
      </c>
      <c r="X122" s="189">
        <f t="shared" si="26"/>
        <v>0.36842105263157893</v>
      </c>
      <c r="Y122" s="189">
        <f t="shared" si="27"/>
        <v>0</v>
      </c>
      <c r="Z122" s="189">
        <f t="shared" si="28"/>
        <v>7.8947368421052627E-2</v>
      </c>
      <c r="AA122" s="189">
        <f t="shared" si="29"/>
        <v>2.6315789473684209E-2</v>
      </c>
      <c r="AB122" s="189">
        <f t="shared" si="30"/>
        <v>2.6315789473684209E-2</v>
      </c>
      <c r="AC122" s="189">
        <f t="shared" si="31"/>
        <v>0</v>
      </c>
      <c r="AD122" s="189">
        <f t="shared" si="32"/>
        <v>0</v>
      </c>
      <c r="AE122" s="189">
        <f t="shared" si="33"/>
        <v>5.2631578947368418E-2</v>
      </c>
      <c r="AF122" s="189">
        <f t="shared" si="20"/>
        <v>1.9955886986661067E-3</v>
      </c>
      <c r="AG122" s="189">
        <f>town_establishments[[#This Row],[share of state establishments]]/($AF$250-$AF$249)</f>
        <v>2.0642077244825904E-3</v>
      </c>
      <c r="AH122" s="189">
        <f>town_establishments[[#This Row],[share of state establishments (no residual)]]/(INDEX(regional_establishments[share of state establishments],MATCH(town_establishments[[#This Row],[Regional Planning Commission]],regional_establishments[Regional Planning Commission],0)))</f>
        <v>1.8728437654016761E-2</v>
      </c>
    </row>
    <row r="123" spans="1:34" x14ac:dyDescent="0.25">
      <c r="A123" t="s">
        <v>338</v>
      </c>
      <c r="B123" t="str">
        <f>INDEX(town_population[Regional Planning Commission],MATCH(town_establishments[[#This Row],[Municipality]],town_population[Municipality],0))</f>
        <v>Rutland Regional Planning Commission</v>
      </c>
      <c r="C123">
        <v>3</v>
      </c>
      <c r="D123">
        <v>2</v>
      </c>
      <c r="E123">
        <v>1</v>
      </c>
      <c r="I123">
        <v>1</v>
      </c>
      <c r="K123">
        <v>3</v>
      </c>
      <c r="L123">
        <v>1</v>
      </c>
      <c r="O123">
        <v>1</v>
      </c>
      <c r="Q123">
        <f t="shared" si="18"/>
        <v>12</v>
      </c>
      <c r="R123" s="189">
        <f t="shared" si="19"/>
        <v>0.25</v>
      </c>
      <c r="S123" s="189">
        <f t="shared" si="21"/>
        <v>0.16666666666666666</v>
      </c>
      <c r="T123" s="189">
        <f t="shared" si="22"/>
        <v>8.3333333333333329E-2</v>
      </c>
      <c r="U123" s="189">
        <f t="shared" si="23"/>
        <v>0</v>
      </c>
      <c r="V123" s="189">
        <f t="shared" si="24"/>
        <v>0</v>
      </c>
      <c r="W123" s="189">
        <f t="shared" si="25"/>
        <v>0</v>
      </c>
      <c r="X123" s="189">
        <f t="shared" si="26"/>
        <v>8.3333333333333329E-2</v>
      </c>
      <c r="Y123" s="189">
        <f t="shared" si="27"/>
        <v>0</v>
      </c>
      <c r="Z123" s="189">
        <f t="shared" si="28"/>
        <v>0.25</v>
      </c>
      <c r="AA123" s="189">
        <f t="shared" si="29"/>
        <v>8.3333333333333329E-2</v>
      </c>
      <c r="AB123" s="189">
        <f t="shared" si="30"/>
        <v>0</v>
      </c>
      <c r="AC123" s="189">
        <f t="shared" si="31"/>
        <v>0</v>
      </c>
      <c r="AD123" s="189">
        <f t="shared" si="32"/>
        <v>8.3333333333333329E-2</v>
      </c>
      <c r="AE123" s="189">
        <f t="shared" si="33"/>
        <v>0</v>
      </c>
      <c r="AF123" s="189">
        <f t="shared" si="20"/>
        <v>6.3018590484192839E-4</v>
      </c>
      <c r="AG123" s="189">
        <f>town_establishments[[#This Row],[share of state establishments]]/($AF$250-$AF$249)</f>
        <v>6.5185507088923894E-4</v>
      </c>
      <c r="AH123" s="189">
        <f>town_establishments[[#This Row],[share of state establishments (no residual)]]/(INDEX(regional_establishments[share of state establishments],MATCH(town_establishments[[#This Row],[Regional Planning Commission]],regional_establishments[Regional Planning Commission],0)))</f>
        <v>6.749156355455567E-3</v>
      </c>
    </row>
    <row r="124" spans="1:34" x14ac:dyDescent="0.25">
      <c r="A124" t="s">
        <v>339</v>
      </c>
      <c r="B124" t="str">
        <f>INDEX(town_population[Regional Planning Commission],MATCH(town_establishments[[#This Row],[Municipality]],town_population[Municipality],0))</f>
        <v>Chittenden County Regional Planning Commission</v>
      </c>
      <c r="C124">
        <v>19</v>
      </c>
      <c r="D124">
        <v>22</v>
      </c>
      <c r="E124">
        <v>11</v>
      </c>
      <c r="F124">
        <v>3</v>
      </c>
      <c r="G124">
        <v>8</v>
      </c>
      <c r="H124">
        <v>8</v>
      </c>
      <c r="I124">
        <v>23</v>
      </c>
      <c r="K124">
        <v>13</v>
      </c>
      <c r="L124">
        <v>2</v>
      </c>
      <c r="M124">
        <v>15</v>
      </c>
      <c r="N124">
        <v>4</v>
      </c>
      <c r="O124">
        <v>12</v>
      </c>
      <c r="P124">
        <v>25</v>
      </c>
      <c r="Q124">
        <f t="shared" si="18"/>
        <v>165</v>
      </c>
      <c r="R124" s="189">
        <f t="shared" si="19"/>
        <v>0.11515151515151516</v>
      </c>
      <c r="S124" s="189">
        <f t="shared" si="21"/>
        <v>0.13333333333333333</v>
      </c>
      <c r="T124" s="189">
        <f t="shared" si="22"/>
        <v>6.6666666666666666E-2</v>
      </c>
      <c r="U124" s="189">
        <f t="shared" si="23"/>
        <v>1.8181818181818181E-2</v>
      </c>
      <c r="V124" s="189">
        <f t="shared" si="24"/>
        <v>4.8484848484848485E-2</v>
      </c>
      <c r="W124" s="189">
        <f t="shared" si="25"/>
        <v>4.8484848484848485E-2</v>
      </c>
      <c r="X124" s="189">
        <f t="shared" si="26"/>
        <v>0.1393939393939394</v>
      </c>
      <c r="Y124" s="189">
        <f t="shared" si="27"/>
        <v>0</v>
      </c>
      <c r="Z124" s="189">
        <f t="shared" si="28"/>
        <v>7.8787878787878782E-2</v>
      </c>
      <c r="AA124" s="189">
        <f t="shared" si="29"/>
        <v>1.2121212121212121E-2</v>
      </c>
      <c r="AB124" s="189">
        <f t="shared" si="30"/>
        <v>9.0909090909090912E-2</v>
      </c>
      <c r="AC124" s="189">
        <f t="shared" si="31"/>
        <v>2.4242424242424242E-2</v>
      </c>
      <c r="AD124" s="189">
        <f t="shared" si="32"/>
        <v>7.2727272727272724E-2</v>
      </c>
      <c r="AE124" s="189">
        <f t="shared" si="33"/>
        <v>0.15151515151515152</v>
      </c>
      <c r="AF124" s="189">
        <f t="shared" si="20"/>
        <v>8.6650561915765159E-3</v>
      </c>
      <c r="AG124" s="189">
        <f>town_establishments[[#This Row],[share of state establishments]]/($AF$250-$AF$249)</f>
        <v>8.9630072247270359E-3</v>
      </c>
      <c r="AH124" s="189">
        <f>town_establishments[[#This Row],[share of state establishments (no residual)]]/(INDEX(regional_establishments[share of state establishments],MATCH(town_establishments[[#This Row],[Regional Planning Commission]],regional_establishments[Regional Planning Commission],0)))</f>
        <v>3.044842221812143E-2</v>
      </c>
    </row>
    <row r="125" spans="1:34" x14ac:dyDescent="0.25">
      <c r="A125" t="s">
        <v>340</v>
      </c>
      <c r="B125" t="str">
        <f>INDEX(town_population[Regional Planning Commission],MATCH(town_establishments[[#This Row],[Municipality]],town_population[Municipality],0))</f>
        <v>Addison County Regional Planning Commission</v>
      </c>
      <c r="D125">
        <v>1</v>
      </c>
      <c r="E125">
        <v>1</v>
      </c>
      <c r="H125">
        <v>1</v>
      </c>
      <c r="I125">
        <v>4</v>
      </c>
      <c r="K125">
        <v>2</v>
      </c>
      <c r="L125">
        <v>1</v>
      </c>
      <c r="M125">
        <v>1</v>
      </c>
      <c r="P125">
        <v>1</v>
      </c>
      <c r="Q125">
        <f t="shared" si="18"/>
        <v>12</v>
      </c>
      <c r="R125" s="189">
        <f t="shared" si="19"/>
        <v>0</v>
      </c>
      <c r="S125" s="189">
        <f t="shared" si="21"/>
        <v>8.3333333333333329E-2</v>
      </c>
      <c r="T125" s="189">
        <f t="shared" si="22"/>
        <v>8.3333333333333329E-2</v>
      </c>
      <c r="U125" s="189">
        <f t="shared" si="23"/>
        <v>0</v>
      </c>
      <c r="V125" s="189">
        <f t="shared" si="24"/>
        <v>0</v>
      </c>
      <c r="W125" s="189">
        <f t="shared" si="25"/>
        <v>8.3333333333333329E-2</v>
      </c>
      <c r="X125" s="189">
        <f t="shared" si="26"/>
        <v>0.33333333333333331</v>
      </c>
      <c r="Y125" s="189">
        <f t="shared" si="27"/>
        <v>0</v>
      </c>
      <c r="Z125" s="189">
        <f t="shared" si="28"/>
        <v>0.16666666666666666</v>
      </c>
      <c r="AA125" s="189">
        <f t="shared" si="29"/>
        <v>8.3333333333333329E-2</v>
      </c>
      <c r="AB125" s="189">
        <f t="shared" si="30"/>
        <v>8.3333333333333329E-2</v>
      </c>
      <c r="AC125" s="189">
        <f t="shared" si="31"/>
        <v>0</v>
      </c>
      <c r="AD125" s="189">
        <f t="shared" si="32"/>
        <v>0</v>
      </c>
      <c r="AE125" s="189">
        <f t="shared" si="33"/>
        <v>8.3333333333333329E-2</v>
      </c>
      <c r="AF125" s="189">
        <f t="shared" si="20"/>
        <v>6.3018590484192839E-4</v>
      </c>
      <c r="AG125" s="189">
        <f>town_establishments[[#This Row],[share of state establishments]]/($AF$250-$AF$249)</f>
        <v>6.5185507088923894E-4</v>
      </c>
      <c r="AH125" s="189">
        <f>town_establishments[[#This Row],[share of state establishments (no residual)]]/(INDEX(regional_establishments[share of state establishments],MATCH(town_establishments[[#This Row],[Regional Planning Commission]],regional_establishments[Regional Planning Commission],0)))</f>
        <v>1.2820512820512822E-2</v>
      </c>
    </row>
    <row r="126" spans="1:34" x14ac:dyDescent="0.25">
      <c r="A126" t="s">
        <v>341</v>
      </c>
      <c r="B126" t="str">
        <f>INDEX(town_population[Regional Planning Commission],MATCH(town_establishments[[#This Row],[Municipality]],town_population[Municipality],0))</f>
        <v>Northwest Regional Planning Commission</v>
      </c>
      <c r="C126">
        <v>3</v>
      </c>
      <c r="D126">
        <v>2</v>
      </c>
      <c r="E126">
        <v>2</v>
      </c>
      <c r="H126">
        <v>1</v>
      </c>
      <c r="I126">
        <v>7</v>
      </c>
      <c r="K126">
        <v>2</v>
      </c>
      <c r="L126">
        <v>1</v>
      </c>
      <c r="O126">
        <v>7</v>
      </c>
      <c r="P126">
        <v>1</v>
      </c>
      <c r="Q126">
        <f t="shared" si="18"/>
        <v>26</v>
      </c>
      <c r="R126" s="189">
        <f t="shared" si="19"/>
        <v>0.11538461538461539</v>
      </c>
      <c r="S126" s="189">
        <f t="shared" si="21"/>
        <v>7.6923076923076927E-2</v>
      </c>
      <c r="T126" s="189">
        <f t="shared" si="22"/>
        <v>7.6923076923076927E-2</v>
      </c>
      <c r="U126" s="189">
        <f t="shared" si="23"/>
        <v>0</v>
      </c>
      <c r="V126" s="189">
        <f t="shared" si="24"/>
        <v>0</v>
      </c>
      <c r="W126" s="189">
        <f t="shared" si="25"/>
        <v>3.8461538461538464E-2</v>
      </c>
      <c r="X126" s="189">
        <f t="shared" si="26"/>
        <v>0.26923076923076922</v>
      </c>
      <c r="Y126" s="189">
        <f t="shared" si="27"/>
        <v>0</v>
      </c>
      <c r="Z126" s="189">
        <f t="shared" si="28"/>
        <v>7.6923076923076927E-2</v>
      </c>
      <c r="AA126" s="189">
        <f t="shared" si="29"/>
        <v>3.8461538461538464E-2</v>
      </c>
      <c r="AB126" s="189">
        <f t="shared" si="30"/>
        <v>0</v>
      </c>
      <c r="AC126" s="189">
        <f t="shared" si="31"/>
        <v>0</v>
      </c>
      <c r="AD126" s="189">
        <f t="shared" si="32"/>
        <v>0.26923076923076922</v>
      </c>
      <c r="AE126" s="189">
        <f t="shared" si="33"/>
        <v>3.8461538461538464E-2</v>
      </c>
      <c r="AF126" s="189">
        <f t="shared" si="20"/>
        <v>1.3654027938241782E-3</v>
      </c>
      <c r="AG126" s="189">
        <f>town_establishments[[#This Row],[share of state establishments]]/($AF$250-$AF$249)</f>
        <v>1.4123526535933511E-3</v>
      </c>
      <c r="AH126" s="189">
        <f>town_establishments[[#This Row],[share of state establishments (no residual)]]/(INDEX(regional_establishments[share of state establishments],MATCH(town_establishments[[#This Row],[Regional Planning Commission]],regional_establishments[Regional Planning Commission],0)))</f>
        <v>2.544031311154599E-2</v>
      </c>
    </row>
    <row r="127" spans="1:34" x14ac:dyDescent="0.25">
      <c r="A127" t="s">
        <v>342</v>
      </c>
      <c r="B127" t="str">
        <f>INDEX(town_population[Regional Planning Commission],MATCH(town_establishments[[#This Row],[Municipality]],town_population[Municipality],0))</f>
        <v>Central Vermont Regional Planning Commission</v>
      </c>
      <c r="C127">
        <v>14</v>
      </c>
      <c r="D127">
        <v>73</v>
      </c>
      <c r="E127">
        <v>5</v>
      </c>
      <c r="F127">
        <v>15</v>
      </c>
      <c r="G127">
        <v>33</v>
      </c>
      <c r="H127">
        <v>12</v>
      </c>
      <c r="I127">
        <v>112</v>
      </c>
      <c r="J127">
        <v>1</v>
      </c>
      <c r="K127">
        <v>31</v>
      </c>
      <c r="L127">
        <v>28</v>
      </c>
      <c r="M127">
        <v>55</v>
      </c>
      <c r="N127">
        <v>4</v>
      </c>
      <c r="O127">
        <v>38</v>
      </c>
      <c r="P127">
        <v>100</v>
      </c>
      <c r="Q127">
        <f t="shared" si="18"/>
        <v>521</v>
      </c>
      <c r="R127" s="189">
        <f t="shared" si="19"/>
        <v>2.6871401151631478E-2</v>
      </c>
      <c r="S127" s="189">
        <f t="shared" si="21"/>
        <v>0.14011516314779271</v>
      </c>
      <c r="T127" s="189">
        <f t="shared" si="22"/>
        <v>9.5969289827255271E-3</v>
      </c>
      <c r="U127" s="189">
        <f t="shared" si="23"/>
        <v>2.8790786948176585E-2</v>
      </c>
      <c r="V127" s="189">
        <f t="shared" si="24"/>
        <v>6.3339731285988479E-2</v>
      </c>
      <c r="W127" s="189">
        <f t="shared" si="25"/>
        <v>2.3032629558541268E-2</v>
      </c>
      <c r="X127" s="189">
        <f t="shared" si="26"/>
        <v>0.21497120921305182</v>
      </c>
      <c r="Y127" s="189">
        <f t="shared" si="27"/>
        <v>1.9193857965451055E-3</v>
      </c>
      <c r="Z127" s="189">
        <f t="shared" si="28"/>
        <v>5.9500959692898273E-2</v>
      </c>
      <c r="AA127" s="189">
        <f t="shared" si="29"/>
        <v>5.3742802303262956E-2</v>
      </c>
      <c r="AB127" s="189">
        <f t="shared" si="30"/>
        <v>0.10556621880998081</v>
      </c>
      <c r="AC127" s="189">
        <f t="shared" si="31"/>
        <v>7.677543186180422E-3</v>
      </c>
      <c r="AD127" s="189">
        <f t="shared" si="32"/>
        <v>7.293666026871401E-2</v>
      </c>
      <c r="AE127" s="189">
        <f t="shared" si="33"/>
        <v>0.19193857965451055</v>
      </c>
      <c r="AF127" s="189">
        <f t="shared" si="20"/>
        <v>2.7360571368553722E-2</v>
      </c>
      <c r="AG127" s="189">
        <f>town_establishments[[#This Row],[share of state establishments]]/($AF$250-$AF$249)</f>
        <v>2.8301374327774458E-2</v>
      </c>
      <c r="AH127" s="189">
        <f>town_establishments[[#This Row],[share of state establishments (no residual)]]/(INDEX(regional_establishments[share of state establishments],MATCH(town_establishments[[#This Row],[Regional Planning Commission]],regional_establishments[Regional Planning Commission],0)))</f>
        <v>0.25677673730901923</v>
      </c>
    </row>
    <row r="128" spans="1:34" x14ac:dyDescent="0.25">
      <c r="A128" t="s">
        <v>343</v>
      </c>
      <c r="B128" t="str">
        <f>INDEX(town_population[Regional Planning Commission],MATCH(town_establishments[[#This Row],[Municipality]],town_population[Municipality],0))</f>
        <v>Central Vermont Regional Planning Commission</v>
      </c>
      <c r="C128">
        <v>2</v>
      </c>
      <c r="D128">
        <v>2</v>
      </c>
      <c r="E128">
        <v>1</v>
      </c>
      <c r="G128">
        <v>2</v>
      </c>
      <c r="I128">
        <v>8</v>
      </c>
      <c r="K128">
        <v>4</v>
      </c>
      <c r="L128">
        <v>2</v>
      </c>
      <c r="M128">
        <v>1</v>
      </c>
      <c r="O128">
        <v>1</v>
      </c>
      <c r="P128">
        <v>6</v>
      </c>
      <c r="Q128">
        <f t="shared" si="18"/>
        <v>29</v>
      </c>
      <c r="R128" s="189">
        <f t="shared" si="19"/>
        <v>6.8965517241379309E-2</v>
      </c>
      <c r="S128" s="189">
        <f t="shared" si="21"/>
        <v>6.8965517241379309E-2</v>
      </c>
      <c r="T128" s="189">
        <f t="shared" si="22"/>
        <v>3.4482758620689655E-2</v>
      </c>
      <c r="U128" s="189">
        <f t="shared" si="23"/>
        <v>0</v>
      </c>
      <c r="V128" s="189">
        <f t="shared" si="24"/>
        <v>6.8965517241379309E-2</v>
      </c>
      <c r="W128" s="189">
        <f t="shared" si="25"/>
        <v>0</v>
      </c>
      <c r="X128" s="189">
        <f t="shared" si="26"/>
        <v>0.27586206896551724</v>
      </c>
      <c r="Y128" s="189">
        <f t="shared" si="27"/>
        <v>0</v>
      </c>
      <c r="Z128" s="189">
        <f t="shared" si="28"/>
        <v>0.13793103448275862</v>
      </c>
      <c r="AA128" s="189">
        <f t="shared" si="29"/>
        <v>6.8965517241379309E-2</v>
      </c>
      <c r="AB128" s="189">
        <f t="shared" si="30"/>
        <v>3.4482758620689655E-2</v>
      </c>
      <c r="AC128" s="189">
        <f t="shared" si="31"/>
        <v>0</v>
      </c>
      <c r="AD128" s="189">
        <f t="shared" si="32"/>
        <v>3.4482758620689655E-2</v>
      </c>
      <c r="AE128" s="189">
        <f t="shared" si="33"/>
        <v>0.20689655172413793</v>
      </c>
      <c r="AF128" s="189">
        <f t="shared" si="20"/>
        <v>1.5229492700346602E-3</v>
      </c>
      <c r="AG128" s="189">
        <f>town_establishments[[#This Row],[share of state establishments]]/($AF$250-$AF$249)</f>
        <v>1.5753164213156607E-3</v>
      </c>
      <c r="AH128" s="189">
        <f>town_establishments[[#This Row],[share of state establishments (no residual)]]/(INDEX(regional_establishments[share of state establishments],MATCH(town_establishments[[#This Row],[Regional Planning Commission]],regional_establishments[Regional Planning Commission],0)))</f>
        <v>1.429275505174963E-2</v>
      </c>
    </row>
    <row r="129" spans="1:34" x14ac:dyDescent="0.25">
      <c r="A129" t="s">
        <v>344</v>
      </c>
      <c r="B129" t="str">
        <f>INDEX(town_population[Regional Planning Commission],MATCH(town_establishments[[#This Row],[Municipality]],town_population[Municipality],0))</f>
        <v>Northeastern Vermont Development Association</v>
      </c>
      <c r="D129">
        <v>1</v>
      </c>
      <c r="E129">
        <v>1</v>
      </c>
      <c r="G129">
        <v>1</v>
      </c>
      <c r="H129">
        <v>1</v>
      </c>
      <c r="I129">
        <v>1</v>
      </c>
      <c r="K129">
        <v>2</v>
      </c>
      <c r="P129">
        <v>1</v>
      </c>
      <c r="Q129">
        <f t="shared" si="18"/>
        <v>8</v>
      </c>
      <c r="R129" s="189">
        <f t="shared" si="19"/>
        <v>0</v>
      </c>
      <c r="S129" s="189">
        <f t="shared" si="21"/>
        <v>0.125</v>
      </c>
      <c r="T129" s="189">
        <f t="shared" si="22"/>
        <v>0.125</v>
      </c>
      <c r="U129" s="189">
        <f t="shared" si="23"/>
        <v>0</v>
      </c>
      <c r="V129" s="189">
        <f t="shared" si="24"/>
        <v>0.125</v>
      </c>
      <c r="W129" s="189">
        <f t="shared" si="25"/>
        <v>0.125</v>
      </c>
      <c r="X129" s="189">
        <f t="shared" si="26"/>
        <v>0.125</v>
      </c>
      <c r="Y129" s="189">
        <f t="shared" si="27"/>
        <v>0</v>
      </c>
      <c r="Z129" s="189">
        <f t="shared" si="28"/>
        <v>0.25</v>
      </c>
      <c r="AA129" s="189">
        <f t="shared" si="29"/>
        <v>0</v>
      </c>
      <c r="AB129" s="189">
        <f t="shared" si="30"/>
        <v>0</v>
      </c>
      <c r="AC129" s="189">
        <f t="shared" si="31"/>
        <v>0</v>
      </c>
      <c r="AD129" s="189">
        <f t="shared" si="32"/>
        <v>0</v>
      </c>
      <c r="AE129" s="189">
        <f t="shared" si="33"/>
        <v>0.125</v>
      </c>
      <c r="AF129" s="189">
        <f t="shared" si="20"/>
        <v>4.2012393656128556E-4</v>
      </c>
      <c r="AG129" s="189">
        <f>town_establishments[[#This Row],[share of state establishments]]/($AF$250-$AF$249)</f>
        <v>4.3457004725949261E-4</v>
      </c>
      <c r="AH129" s="189">
        <f>town_establishments[[#This Row],[share of state establishments (no residual)]]/(INDEX(regional_establishments[share of state establishments],MATCH(town_establishments[[#This Row],[Regional Planning Commission]],regional_establishments[Regional Planning Commission],0)))</f>
        <v>5.4832076764907466E-3</v>
      </c>
    </row>
    <row r="130" spans="1:34" x14ac:dyDescent="0.25">
      <c r="A130" t="s">
        <v>345</v>
      </c>
      <c r="B130" t="str">
        <f>INDEX(town_population[Regional Planning Commission],MATCH(town_establishments[[#This Row],[Municipality]],town_population[Municipality],0))</f>
        <v>Lamoille County Planning Commission</v>
      </c>
      <c r="C130">
        <v>8</v>
      </c>
      <c r="D130">
        <v>46</v>
      </c>
      <c r="E130">
        <v>10</v>
      </c>
      <c r="F130">
        <v>8</v>
      </c>
      <c r="G130">
        <v>7</v>
      </c>
      <c r="H130">
        <v>5</v>
      </c>
      <c r="I130">
        <v>31</v>
      </c>
      <c r="J130">
        <v>2</v>
      </c>
      <c r="K130">
        <v>18</v>
      </c>
      <c r="L130">
        <v>2</v>
      </c>
      <c r="M130">
        <v>37</v>
      </c>
      <c r="N130">
        <v>8</v>
      </c>
      <c r="O130">
        <v>20</v>
      </c>
      <c r="P130">
        <v>30</v>
      </c>
      <c r="Q130">
        <f t="shared" si="18"/>
        <v>232</v>
      </c>
      <c r="R130" s="189">
        <f t="shared" si="19"/>
        <v>3.4482758620689655E-2</v>
      </c>
      <c r="S130" s="189">
        <f t="shared" si="21"/>
        <v>0.19827586206896552</v>
      </c>
      <c r="T130" s="189">
        <f t="shared" si="22"/>
        <v>4.3103448275862072E-2</v>
      </c>
      <c r="U130" s="189">
        <f t="shared" si="23"/>
        <v>3.4482758620689655E-2</v>
      </c>
      <c r="V130" s="189">
        <f t="shared" si="24"/>
        <v>3.017241379310345E-2</v>
      </c>
      <c r="W130" s="189">
        <f t="shared" si="25"/>
        <v>2.1551724137931036E-2</v>
      </c>
      <c r="X130" s="189">
        <f t="shared" si="26"/>
        <v>0.1336206896551724</v>
      </c>
      <c r="Y130" s="189">
        <f t="shared" si="27"/>
        <v>8.6206896551724137E-3</v>
      </c>
      <c r="Z130" s="189">
        <f t="shared" si="28"/>
        <v>7.7586206896551727E-2</v>
      </c>
      <c r="AA130" s="189">
        <f t="shared" si="29"/>
        <v>8.6206896551724137E-3</v>
      </c>
      <c r="AB130" s="189">
        <f t="shared" si="30"/>
        <v>0.15948275862068967</v>
      </c>
      <c r="AC130" s="189">
        <f t="shared" si="31"/>
        <v>3.4482758620689655E-2</v>
      </c>
      <c r="AD130" s="189">
        <f t="shared" si="32"/>
        <v>8.6206896551724144E-2</v>
      </c>
      <c r="AE130" s="189">
        <f t="shared" si="33"/>
        <v>0.12931034482758622</v>
      </c>
      <c r="AF130" s="189">
        <f t="shared" si="20"/>
        <v>1.2183594160277282E-2</v>
      </c>
      <c r="AG130" s="189">
        <f>town_establishments[[#This Row],[share of state establishments]]/($AF$250-$AF$249)</f>
        <v>1.2602531370525286E-2</v>
      </c>
      <c r="AH130" s="189">
        <f>town_establishments[[#This Row],[share of state establishments (no residual)]]/(INDEX(regional_establishments[share of state establishments],MATCH(town_establishments[[#This Row],[Regional Planning Commission]],regional_establishments[Regional Planning Commission],0)))</f>
        <v>0.28431372549019601</v>
      </c>
    </row>
    <row r="131" spans="1:34" x14ac:dyDescent="0.25">
      <c r="A131" t="s">
        <v>346</v>
      </c>
      <c r="B131" t="str">
        <f>INDEX(town_population[Regional Planning Commission],MATCH(town_establishments[[#This Row],[Municipality]],town_population[Municipality],0))</f>
        <v>Rutland Regional Planning Commission</v>
      </c>
      <c r="C131">
        <v>2</v>
      </c>
      <c r="D131">
        <v>2</v>
      </c>
      <c r="E131">
        <v>2</v>
      </c>
      <c r="H131">
        <v>2</v>
      </c>
      <c r="I131">
        <v>7</v>
      </c>
      <c r="K131">
        <v>3</v>
      </c>
      <c r="L131">
        <v>1</v>
      </c>
      <c r="M131">
        <v>2</v>
      </c>
      <c r="O131">
        <v>2</v>
      </c>
      <c r="P131">
        <v>2</v>
      </c>
      <c r="Q131">
        <f t="shared" si="18"/>
        <v>25</v>
      </c>
      <c r="R131" s="189">
        <f t="shared" si="19"/>
        <v>0.08</v>
      </c>
      <c r="S131" s="189">
        <f t="shared" si="21"/>
        <v>0.08</v>
      </c>
      <c r="T131" s="189">
        <f t="shared" si="22"/>
        <v>0.08</v>
      </c>
      <c r="U131" s="189">
        <f t="shared" si="23"/>
        <v>0</v>
      </c>
      <c r="V131" s="189">
        <f t="shared" si="24"/>
        <v>0</v>
      </c>
      <c r="W131" s="189">
        <f t="shared" si="25"/>
        <v>0.08</v>
      </c>
      <c r="X131" s="189">
        <f t="shared" si="26"/>
        <v>0.28000000000000003</v>
      </c>
      <c r="Y131" s="189">
        <f t="shared" si="27"/>
        <v>0</v>
      </c>
      <c r="Z131" s="189">
        <f t="shared" si="28"/>
        <v>0.12</v>
      </c>
      <c r="AA131" s="189">
        <f t="shared" si="29"/>
        <v>0.04</v>
      </c>
      <c r="AB131" s="189">
        <f t="shared" si="30"/>
        <v>0.08</v>
      </c>
      <c r="AC131" s="189">
        <f t="shared" si="31"/>
        <v>0</v>
      </c>
      <c r="AD131" s="189">
        <f t="shared" si="32"/>
        <v>0.08</v>
      </c>
      <c r="AE131" s="189">
        <f t="shared" si="33"/>
        <v>0.08</v>
      </c>
      <c r="AF131" s="189">
        <f t="shared" si="20"/>
        <v>1.3128873017540174E-3</v>
      </c>
      <c r="AG131" s="189">
        <f>town_establishments[[#This Row],[share of state establishments]]/($AF$250-$AF$249)</f>
        <v>1.3580313976859144E-3</v>
      </c>
      <c r="AH131" s="189">
        <f>town_establishments[[#This Row],[share of state establishments (no residual)]]/(INDEX(regional_establishments[share of state establishments],MATCH(town_establishments[[#This Row],[Regional Planning Commission]],regional_establishments[Regional Planning Commission],0)))</f>
        <v>1.4060742407199098E-2</v>
      </c>
    </row>
    <row r="132" spans="1:34" x14ac:dyDescent="0.25">
      <c r="A132" t="s">
        <v>347</v>
      </c>
      <c r="B132" t="str">
        <f>INDEX(town_population[Regional Planning Commission],MATCH(town_establishments[[#This Row],[Municipality]],town_population[Municipality],0))</f>
        <v>Rutland Regional Planning Commission</v>
      </c>
      <c r="D132">
        <v>1</v>
      </c>
      <c r="Q132">
        <f t="shared" ref="Q132:Q195" si="34">SUM(C132:P132)</f>
        <v>1</v>
      </c>
      <c r="R132" s="189">
        <f t="shared" ref="R132:R195" si="35">IF($Q132&lt;&gt;0,C132/$Q132,0)</f>
        <v>0</v>
      </c>
      <c r="S132" s="189">
        <f t="shared" si="21"/>
        <v>1</v>
      </c>
      <c r="T132" s="189">
        <f t="shared" si="22"/>
        <v>0</v>
      </c>
      <c r="U132" s="189">
        <f t="shared" si="23"/>
        <v>0</v>
      </c>
      <c r="V132" s="189">
        <f t="shared" si="24"/>
        <v>0</v>
      </c>
      <c r="W132" s="189">
        <f t="shared" si="25"/>
        <v>0</v>
      </c>
      <c r="X132" s="189">
        <f t="shared" si="26"/>
        <v>0</v>
      </c>
      <c r="Y132" s="189">
        <f t="shared" si="27"/>
        <v>0</v>
      </c>
      <c r="Z132" s="189">
        <f t="shared" si="28"/>
        <v>0</v>
      </c>
      <c r="AA132" s="189">
        <f t="shared" si="29"/>
        <v>0</v>
      </c>
      <c r="AB132" s="189">
        <f t="shared" si="30"/>
        <v>0</v>
      </c>
      <c r="AC132" s="189">
        <f t="shared" si="31"/>
        <v>0</v>
      </c>
      <c r="AD132" s="189">
        <f t="shared" si="32"/>
        <v>0</v>
      </c>
      <c r="AE132" s="189">
        <f t="shared" si="33"/>
        <v>0</v>
      </c>
      <c r="AF132" s="189">
        <f t="shared" ref="AF132:AF195" si="36">Q132/Q$250</f>
        <v>5.2515492070160695E-5</v>
      </c>
      <c r="AG132" s="189">
        <f>town_establishments[[#This Row],[share of state establishments]]/($AF$250-$AF$249)</f>
        <v>5.4321255907436576E-5</v>
      </c>
      <c r="AH132" s="189">
        <f>town_establishments[[#This Row],[share of state establishments (no residual)]]/(INDEX(regional_establishments[share of state establishments],MATCH(town_establishments[[#This Row],[Regional Planning Commission]],regional_establishments[Regional Planning Commission],0)))</f>
        <v>5.6242969628796395E-4</v>
      </c>
    </row>
    <row r="133" spans="1:34" x14ac:dyDescent="0.25">
      <c r="A133" t="s">
        <v>349</v>
      </c>
      <c r="B133" t="str">
        <f>INDEX(town_population[Regional Planning Commission],MATCH(town_establishments[[#This Row],[Municipality]],town_population[Municipality],0))</f>
        <v>Northeastern Vermont Development Association</v>
      </c>
      <c r="I133">
        <v>1</v>
      </c>
      <c r="L133">
        <v>1</v>
      </c>
      <c r="M133">
        <v>1</v>
      </c>
      <c r="Q133">
        <f t="shared" si="34"/>
        <v>3</v>
      </c>
      <c r="R133" s="189">
        <f t="shared" si="35"/>
        <v>0</v>
      </c>
      <c r="S133" s="189">
        <f t="shared" si="21"/>
        <v>0</v>
      </c>
      <c r="T133" s="189">
        <f t="shared" si="22"/>
        <v>0</v>
      </c>
      <c r="U133" s="189">
        <f t="shared" si="23"/>
        <v>0</v>
      </c>
      <c r="V133" s="189">
        <f t="shared" si="24"/>
        <v>0</v>
      </c>
      <c r="W133" s="189">
        <f t="shared" si="25"/>
        <v>0</v>
      </c>
      <c r="X133" s="189">
        <f t="shared" si="26"/>
        <v>0.33333333333333331</v>
      </c>
      <c r="Y133" s="189">
        <f t="shared" si="27"/>
        <v>0</v>
      </c>
      <c r="Z133" s="189">
        <f t="shared" si="28"/>
        <v>0</v>
      </c>
      <c r="AA133" s="189">
        <f t="shared" si="29"/>
        <v>0.33333333333333331</v>
      </c>
      <c r="AB133" s="189">
        <f t="shared" si="30"/>
        <v>0.33333333333333331</v>
      </c>
      <c r="AC133" s="189">
        <f t="shared" si="31"/>
        <v>0</v>
      </c>
      <c r="AD133" s="189">
        <f t="shared" si="32"/>
        <v>0</v>
      </c>
      <c r="AE133" s="189">
        <f t="shared" si="33"/>
        <v>0</v>
      </c>
      <c r="AF133" s="189">
        <f t="shared" si="36"/>
        <v>1.575464762104821E-4</v>
      </c>
      <c r="AG133" s="189">
        <f>town_establishments[[#This Row],[share of state establishments]]/($AF$250-$AF$249)</f>
        <v>1.6296376772230973E-4</v>
      </c>
      <c r="AH133" s="189">
        <f>town_establishments[[#This Row],[share of state establishments (no residual)]]/(INDEX(regional_establishments[share of state establishments],MATCH(town_establishments[[#This Row],[Regional Planning Commission]],regional_establishments[Regional Planning Commission],0)))</f>
        <v>2.0562028786840301E-3</v>
      </c>
    </row>
    <row r="134" spans="1:34" x14ac:dyDescent="0.25">
      <c r="A134" t="s">
        <v>350</v>
      </c>
      <c r="B134" t="str">
        <f>INDEX(town_population[Regional Planning Commission],MATCH(town_establishments[[#This Row],[Municipality]],town_population[Municipality],0))</f>
        <v>Two Rivers-Ottauquechee Regional Commission</v>
      </c>
      <c r="C134">
        <v>3</v>
      </c>
      <c r="D134">
        <v>5</v>
      </c>
      <c r="E134">
        <v>2</v>
      </c>
      <c r="F134">
        <v>2</v>
      </c>
      <c r="G134">
        <v>3</v>
      </c>
      <c r="I134">
        <v>5</v>
      </c>
      <c r="K134">
        <v>2</v>
      </c>
      <c r="L134">
        <v>2</v>
      </c>
      <c r="M134">
        <v>7</v>
      </c>
      <c r="O134">
        <v>4</v>
      </c>
      <c r="P134">
        <v>4</v>
      </c>
      <c r="Q134">
        <f t="shared" si="34"/>
        <v>39</v>
      </c>
      <c r="R134" s="189">
        <f t="shared" si="35"/>
        <v>7.6923076923076927E-2</v>
      </c>
      <c r="S134" s="189">
        <f t="shared" si="21"/>
        <v>0.12820512820512819</v>
      </c>
      <c r="T134" s="189">
        <f t="shared" si="22"/>
        <v>5.128205128205128E-2</v>
      </c>
      <c r="U134" s="189">
        <f t="shared" si="23"/>
        <v>5.128205128205128E-2</v>
      </c>
      <c r="V134" s="189">
        <f t="shared" si="24"/>
        <v>7.6923076923076927E-2</v>
      </c>
      <c r="W134" s="189">
        <f t="shared" si="25"/>
        <v>0</v>
      </c>
      <c r="X134" s="189">
        <f t="shared" si="26"/>
        <v>0.12820512820512819</v>
      </c>
      <c r="Y134" s="189">
        <f t="shared" si="27"/>
        <v>0</v>
      </c>
      <c r="Z134" s="189">
        <f t="shared" si="28"/>
        <v>5.128205128205128E-2</v>
      </c>
      <c r="AA134" s="189">
        <f t="shared" si="29"/>
        <v>5.128205128205128E-2</v>
      </c>
      <c r="AB134" s="189">
        <f t="shared" si="30"/>
        <v>0.17948717948717949</v>
      </c>
      <c r="AC134" s="189">
        <f t="shared" si="31"/>
        <v>0</v>
      </c>
      <c r="AD134" s="189">
        <f t="shared" si="32"/>
        <v>0.10256410256410256</v>
      </c>
      <c r="AE134" s="189">
        <f t="shared" si="33"/>
        <v>0.10256410256410256</v>
      </c>
      <c r="AF134" s="189">
        <f t="shared" si="36"/>
        <v>2.0481041907362673E-3</v>
      </c>
      <c r="AG134" s="189">
        <f>town_establishments[[#This Row],[share of state establishments]]/($AF$250-$AF$249)</f>
        <v>2.1185289803900267E-3</v>
      </c>
      <c r="AH134" s="189">
        <f>town_establishments[[#This Row],[share of state establishments (no residual)]]/(INDEX(regional_establishments[share of state establishments],MATCH(town_establishments[[#This Row],[Regional Planning Commission]],regional_establishments[Regional Planning Commission],0)))</f>
        <v>2.4074074074074078E-2</v>
      </c>
    </row>
    <row r="135" spans="1:34" x14ac:dyDescent="0.25">
      <c r="A135" t="s">
        <v>348</v>
      </c>
      <c r="B135" t="str">
        <f>INDEX(town_population[Regional Planning Commission],MATCH(town_establishments[[#This Row],[Municipality]],town_population[Municipality],0))</f>
        <v>Addison County Regional Planning Commission</v>
      </c>
      <c r="C135">
        <v>1</v>
      </c>
      <c r="D135">
        <v>3</v>
      </c>
      <c r="E135">
        <v>1</v>
      </c>
      <c r="G135">
        <v>2</v>
      </c>
      <c r="I135">
        <v>10</v>
      </c>
      <c r="K135">
        <v>4</v>
      </c>
      <c r="L135">
        <v>2</v>
      </c>
      <c r="M135">
        <v>3</v>
      </c>
      <c r="N135">
        <v>1</v>
      </c>
      <c r="O135">
        <v>5</v>
      </c>
      <c r="P135">
        <v>3</v>
      </c>
      <c r="Q135">
        <f t="shared" si="34"/>
        <v>35</v>
      </c>
      <c r="R135" s="189">
        <f t="shared" si="35"/>
        <v>2.8571428571428571E-2</v>
      </c>
      <c r="S135" s="189">
        <f t="shared" si="21"/>
        <v>8.5714285714285715E-2</v>
      </c>
      <c r="T135" s="189">
        <f t="shared" si="22"/>
        <v>2.8571428571428571E-2</v>
      </c>
      <c r="U135" s="189">
        <f t="shared" si="23"/>
        <v>0</v>
      </c>
      <c r="V135" s="189">
        <f t="shared" si="24"/>
        <v>5.7142857142857141E-2</v>
      </c>
      <c r="W135" s="189">
        <f t="shared" si="25"/>
        <v>0</v>
      </c>
      <c r="X135" s="189">
        <f t="shared" si="26"/>
        <v>0.2857142857142857</v>
      </c>
      <c r="Y135" s="189">
        <f t="shared" si="27"/>
        <v>0</v>
      </c>
      <c r="Z135" s="189">
        <f t="shared" si="28"/>
        <v>0.11428571428571428</v>
      </c>
      <c r="AA135" s="189">
        <f t="shared" si="29"/>
        <v>5.7142857142857141E-2</v>
      </c>
      <c r="AB135" s="189">
        <f t="shared" si="30"/>
        <v>8.5714285714285715E-2</v>
      </c>
      <c r="AC135" s="189">
        <f t="shared" si="31"/>
        <v>2.8571428571428571E-2</v>
      </c>
      <c r="AD135" s="189">
        <f t="shared" si="32"/>
        <v>0.14285714285714285</v>
      </c>
      <c r="AE135" s="189">
        <f t="shared" si="33"/>
        <v>8.5714285714285715E-2</v>
      </c>
      <c r="AF135" s="189">
        <f t="shared" si="36"/>
        <v>1.8380422224556245E-3</v>
      </c>
      <c r="AG135" s="189">
        <f>town_establishments[[#This Row],[share of state establishments]]/($AF$250-$AF$249)</f>
        <v>1.9012439567602803E-3</v>
      </c>
      <c r="AH135" s="189">
        <f>town_establishments[[#This Row],[share of state establishments (no residual)]]/(INDEX(regional_establishments[share of state establishments],MATCH(town_establishments[[#This Row],[Regional Planning Commission]],regional_establishments[Regional Planning Commission],0)))</f>
        <v>3.7393162393162399E-2</v>
      </c>
    </row>
    <row r="136" spans="1:34" x14ac:dyDescent="0.25">
      <c r="A136" t="s">
        <v>351</v>
      </c>
      <c r="B136" t="str">
        <f>INDEX(town_population[Regional Planning Commission],MATCH(town_establishments[[#This Row],[Municipality]],town_population[Municipality],0))</f>
        <v>Windham Regional Commission</v>
      </c>
      <c r="C136">
        <v>5</v>
      </c>
      <c r="D136">
        <v>9</v>
      </c>
      <c r="E136">
        <v>3</v>
      </c>
      <c r="G136">
        <v>1</v>
      </c>
      <c r="I136">
        <v>10</v>
      </c>
      <c r="K136">
        <v>5</v>
      </c>
      <c r="L136">
        <v>1</v>
      </c>
      <c r="M136">
        <v>4</v>
      </c>
      <c r="N136">
        <v>1</v>
      </c>
      <c r="O136">
        <v>1</v>
      </c>
      <c r="P136">
        <v>4</v>
      </c>
      <c r="Q136">
        <f t="shared" si="34"/>
        <v>44</v>
      </c>
      <c r="R136" s="189">
        <f t="shared" si="35"/>
        <v>0.11363636363636363</v>
      </c>
      <c r="S136" s="189">
        <f t="shared" si="21"/>
        <v>0.20454545454545456</v>
      </c>
      <c r="T136" s="189">
        <f t="shared" si="22"/>
        <v>6.8181818181818177E-2</v>
      </c>
      <c r="U136" s="189">
        <f t="shared" si="23"/>
        <v>0</v>
      </c>
      <c r="V136" s="189">
        <f t="shared" si="24"/>
        <v>2.2727272727272728E-2</v>
      </c>
      <c r="W136" s="189">
        <f t="shared" si="25"/>
        <v>0</v>
      </c>
      <c r="X136" s="189">
        <f t="shared" si="26"/>
        <v>0.22727272727272727</v>
      </c>
      <c r="Y136" s="189">
        <f t="shared" si="27"/>
        <v>0</v>
      </c>
      <c r="Z136" s="189">
        <f t="shared" si="28"/>
        <v>0.11363636363636363</v>
      </c>
      <c r="AA136" s="189">
        <f t="shared" si="29"/>
        <v>2.2727272727272728E-2</v>
      </c>
      <c r="AB136" s="189">
        <f t="shared" si="30"/>
        <v>9.0909090909090912E-2</v>
      </c>
      <c r="AC136" s="189">
        <f t="shared" si="31"/>
        <v>2.2727272727272728E-2</v>
      </c>
      <c r="AD136" s="189">
        <f t="shared" si="32"/>
        <v>2.2727272727272728E-2</v>
      </c>
      <c r="AE136" s="189">
        <f t="shared" si="33"/>
        <v>9.0909090909090912E-2</v>
      </c>
      <c r="AF136" s="189">
        <f t="shared" si="36"/>
        <v>2.3106816510870707E-3</v>
      </c>
      <c r="AG136" s="189">
        <f>town_establishments[[#This Row],[share of state establishments]]/($AF$250-$AF$249)</f>
        <v>2.3901352599272094E-3</v>
      </c>
      <c r="AH136" s="189">
        <f>town_establishments[[#This Row],[share of state establishments (no residual)]]/(INDEX(regional_establishments[share of state establishments],MATCH(town_establishments[[#This Row],[Regional Planning Commission]],regional_establishments[Regional Planning Commission],0)))</f>
        <v>2.8332260141661299E-2</v>
      </c>
    </row>
    <row r="137" spans="1:34" x14ac:dyDescent="0.25">
      <c r="A137" t="s">
        <v>352</v>
      </c>
      <c r="B137" t="str">
        <f>INDEX(town_population[Regional Planning Commission],MATCH(town_establishments[[#This Row],[Municipality]],town_population[Municipality],0))</f>
        <v>Northeastern Vermont Development Association</v>
      </c>
      <c r="C137">
        <v>7</v>
      </c>
      <c r="D137">
        <v>45</v>
      </c>
      <c r="E137">
        <v>5</v>
      </c>
      <c r="F137">
        <v>6</v>
      </c>
      <c r="G137">
        <v>16</v>
      </c>
      <c r="H137">
        <v>5</v>
      </c>
      <c r="I137">
        <v>21</v>
      </c>
      <c r="J137">
        <v>1</v>
      </c>
      <c r="K137">
        <v>7</v>
      </c>
      <c r="L137">
        <v>5</v>
      </c>
      <c r="M137">
        <v>36</v>
      </c>
      <c r="N137">
        <v>5</v>
      </c>
      <c r="O137">
        <v>20</v>
      </c>
      <c r="P137">
        <v>30</v>
      </c>
      <c r="Q137">
        <f t="shared" si="34"/>
        <v>209</v>
      </c>
      <c r="R137" s="189">
        <f t="shared" si="35"/>
        <v>3.3492822966507178E-2</v>
      </c>
      <c r="S137" s="189">
        <f t="shared" si="21"/>
        <v>0.21531100478468901</v>
      </c>
      <c r="T137" s="189">
        <f t="shared" si="22"/>
        <v>2.3923444976076555E-2</v>
      </c>
      <c r="U137" s="189">
        <f t="shared" si="23"/>
        <v>2.8708133971291867E-2</v>
      </c>
      <c r="V137" s="189">
        <f t="shared" si="24"/>
        <v>7.6555023923444973E-2</v>
      </c>
      <c r="W137" s="189">
        <f t="shared" si="25"/>
        <v>2.3923444976076555E-2</v>
      </c>
      <c r="X137" s="189">
        <f t="shared" si="26"/>
        <v>0.10047846889952153</v>
      </c>
      <c r="Y137" s="189">
        <f t="shared" si="27"/>
        <v>4.7846889952153108E-3</v>
      </c>
      <c r="Z137" s="189">
        <f t="shared" si="28"/>
        <v>3.3492822966507178E-2</v>
      </c>
      <c r="AA137" s="189">
        <f t="shared" si="29"/>
        <v>2.3923444976076555E-2</v>
      </c>
      <c r="AB137" s="189">
        <f t="shared" si="30"/>
        <v>0.17224880382775121</v>
      </c>
      <c r="AC137" s="189">
        <f t="shared" si="31"/>
        <v>2.3923444976076555E-2</v>
      </c>
      <c r="AD137" s="189">
        <f t="shared" si="32"/>
        <v>9.569377990430622E-2</v>
      </c>
      <c r="AE137" s="189">
        <f t="shared" si="33"/>
        <v>0.14354066985645933</v>
      </c>
      <c r="AF137" s="189">
        <f t="shared" si="36"/>
        <v>1.0975737842663586E-2</v>
      </c>
      <c r="AG137" s="189">
        <f>town_establishments[[#This Row],[share of state establishments]]/($AF$250-$AF$249)</f>
        <v>1.1353142484654246E-2</v>
      </c>
      <c r="AH137" s="189">
        <f>town_establishments[[#This Row],[share of state establishments (no residual)]]/(INDEX(regional_establishments[share of state establishments],MATCH(town_establishments[[#This Row],[Regional Planning Commission]],regional_establishments[Regional Planning Commission],0)))</f>
        <v>0.14324880054832076</v>
      </c>
    </row>
    <row r="138" spans="1:34" x14ac:dyDescent="0.25">
      <c r="A138" t="s">
        <v>353</v>
      </c>
      <c r="B138" t="str">
        <f>INDEX(town_population[Regional Planning Commission],MATCH(town_establishments[[#This Row],[Municipality]],town_population[Municipality],0))</f>
        <v>Northeastern Vermont Development Association</v>
      </c>
      <c r="C138">
        <v>3</v>
      </c>
      <c r="D138">
        <v>10</v>
      </c>
      <c r="E138">
        <v>1</v>
      </c>
      <c r="G138">
        <v>1</v>
      </c>
      <c r="H138">
        <v>1</v>
      </c>
      <c r="I138">
        <v>5</v>
      </c>
      <c r="K138">
        <v>5</v>
      </c>
      <c r="L138">
        <v>1</v>
      </c>
      <c r="M138">
        <v>3</v>
      </c>
      <c r="O138">
        <v>1</v>
      </c>
      <c r="P138">
        <v>5</v>
      </c>
      <c r="Q138">
        <f t="shared" si="34"/>
        <v>36</v>
      </c>
      <c r="R138" s="189">
        <f t="shared" si="35"/>
        <v>8.3333333333333329E-2</v>
      </c>
      <c r="S138" s="189">
        <f t="shared" si="21"/>
        <v>0.27777777777777779</v>
      </c>
      <c r="T138" s="189">
        <f t="shared" si="22"/>
        <v>2.7777777777777776E-2</v>
      </c>
      <c r="U138" s="189">
        <f t="shared" si="23"/>
        <v>0</v>
      </c>
      <c r="V138" s="189">
        <f t="shared" si="24"/>
        <v>2.7777777777777776E-2</v>
      </c>
      <c r="W138" s="189">
        <f t="shared" si="25"/>
        <v>2.7777777777777776E-2</v>
      </c>
      <c r="X138" s="189">
        <f t="shared" si="26"/>
        <v>0.1388888888888889</v>
      </c>
      <c r="Y138" s="189">
        <f t="shared" si="27"/>
        <v>0</v>
      </c>
      <c r="Z138" s="189">
        <f t="shared" si="28"/>
        <v>0.1388888888888889</v>
      </c>
      <c r="AA138" s="189">
        <f t="shared" si="29"/>
        <v>2.7777777777777776E-2</v>
      </c>
      <c r="AB138" s="189">
        <f t="shared" si="30"/>
        <v>8.3333333333333329E-2</v>
      </c>
      <c r="AC138" s="189">
        <f t="shared" si="31"/>
        <v>0</v>
      </c>
      <c r="AD138" s="189">
        <f t="shared" si="32"/>
        <v>2.7777777777777776E-2</v>
      </c>
      <c r="AE138" s="189">
        <f t="shared" si="33"/>
        <v>0.1388888888888889</v>
      </c>
      <c r="AF138" s="189">
        <f t="shared" si="36"/>
        <v>1.8905577145257851E-3</v>
      </c>
      <c r="AG138" s="189">
        <f>town_establishments[[#This Row],[share of state establishments]]/($AF$250-$AF$249)</f>
        <v>1.955565212667717E-3</v>
      </c>
      <c r="AH138" s="189">
        <f>town_establishments[[#This Row],[share of state establishments (no residual)]]/(INDEX(regional_establishments[share of state establishments],MATCH(town_establishments[[#This Row],[Regional Planning Commission]],regional_establishments[Regional Planning Commission],0)))</f>
        <v>2.4674434544208364E-2</v>
      </c>
    </row>
    <row r="139" spans="1:34" x14ac:dyDescent="0.25">
      <c r="A139" t="s">
        <v>354</v>
      </c>
      <c r="B139" t="str">
        <f>INDEX(town_population[Regional Planning Commission],MATCH(town_establishments[[#This Row],[Municipality]],town_population[Municipality],0))</f>
        <v>Northwest Regional Planning Commission</v>
      </c>
      <c r="C139">
        <v>2</v>
      </c>
      <c r="D139">
        <v>3</v>
      </c>
      <c r="E139">
        <v>1</v>
      </c>
      <c r="G139">
        <v>1</v>
      </c>
      <c r="H139">
        <v>0</v>
      </c>
      <c r="I139">
        <v>5</v>
      </c>
      <c r="K139">
        <v>4</v>
      </c>
      <c r="L139">
        <v>2</v>
      </c>
      <c r="N139">
        <v>2</v>
      </c>
      <c r="O139">
        <v>4</v>
      </c>
      <c r="P139">
        <v>2</v>
      </c>
      <c r="Q139">
        <f t="shared" si="34"/>
        <v>26</v>
      </c>
      <c r="R139" s="189">
        <f t="shared" si="35"/>
        <v>7.6923076923076927E-2</v>
      </c>
      <c r="S139" s="189">
        <f t="shared" si="21"/>
        <v>0.11538461538461539</v>
      </c>
      <c r="T139" s="189">
        <f t="shared" si="22"/>
        <v>3.8461538461538464E-2</v>
      </c>
      <c r="U139" s="189">
        <f t="shared" si="23"/>
        <v>0</v>
      </c>
      <c r="V139" s="189">
        <f t="shared" si="24"/>
        <v>3.8461538461538464E-2</v>
      </c>
      <c r="W139" s="189">
        <f t="shared" si="25"/>
        <v>0</v>
      </c>
      <c r="X139" s="189">
        <f t="shared" si="26"/>
        <v>0.19230769230769232</v>
      </c>
      <c r="Y139" s="189">
        <f t="shared" si="27"/>
        <v>0</v>
      </c>
      <c r="Z139" s="189">
        <f t="shared" si="28"/>
        <v>0.15384615384615385</v>
      </c>
      <c r="AA139" s="189">
        <f t="shared" si="29"/>
        <v>7.6923076923076927E-2</v>
      </c>
      <c r="AB139" s="189">
        <f t="shared" si="30"/>
        <v>0</v>
      </c>
      <c r="AC139" s="189">
        <f t="shared" si="31"/>
        <v>7.6923076923076927E-2</v>
      </c>
      <c r="AD139" s="189">
        <f t="shared" si="32"/>
        <v>0.15384615384615385</v>
      </c>
      <c r="AE139" s="189">
        <f t="shared" si="33"/>
        <v>7.6923076923076927E-2</v>
      </c>
      <c r="AF139" s="189">
        <f t="shared" si="36"/>
        <v>1.3654027938241782E-3</v>
      </c>
      <c r="AG139" s="189">
        <f>town_establishments[[#This Row],[share of state establishments]]/($AF$250-$AF$249)</f>
        <v>1.4123526535933511E-3</v>
      </c>
      <c r="AH139" s="189">
        <f>town_establishments[[#This Row],[share of state establishments (no residual)]]/(INDEX(regional_establishments[share of state establishments],MATCH(town_establishments[[#This Row],[Regional Planning Commission]],regional_establishments[Regional Planning Commission],0)))</f>
        <v>2.544031311154599E-2</v>
      </c>
    </row>
    <row r="140" spans="1:34" x14ac:dyDescent="0.25">
      <c r="A140" t="s">
        <v>355</v>
      </c>
      <c r="B140" t="str">
        <f>INDEX(town_population[Regional Planning Commission],MATCH(town_establishments[[#This Row],[Municipality]],town_population[Municipality],0))</f>
        <v>Central Vermont Regional Planning Commission</v>
      </c>
      <c r="C140">
        <v>3</v>
      </c>
      <c r="D140">
        <v>15</v>
      </c>
      <c r="E140">
        <v>2</v>
      </c>
      <c r="F140">
        <v>5</v>
      </c>
      <c r="G140">
        <v>4</v>
      </c>
      <c r="H140">
        <v>2</v>
      </c>
      <c r="I140">
        <v>13</v>
      </c>
      <c r="K140">
        <v>4</v>
      </c>
      <c r="L140">
        <v>4</v>
      </c>
      <c r="M140">
        <v>8</v>
      </c>
      <c r="N140">
        <v>1</v>
      </c>
      <c r="O140">
        <v>9</v>
      </c>
      <c r="P140">
        <v>10</v>
      </c>
      <c r="Q140">
        <f t="shared" si="34"/>
        <v>80</v>
      </c>
      <c r="R140" s="189">
        <f t="shared" si="35"/>
        <v>3.7499999999999999E-2</v>
      </c>
      <c r="S140" s="189">
        <f t="shared" si="21"/>
        <v>0.1875</v>
      </c>
      <c r="T140" s="189">
        <f t="shared" si="22"/>
        <v>2.5000000000000001E-2</v>
      </c>
      <c r="U140" s="189">
        <f t="shared" si="23"/>
        <v>6.25E-2</v>
      </c>
      <c r="V140" s="189">
        <f t="shared" si="24"/>
        <v>0.05</v>
      </c>
      <c r="W140" s="189">
        <f t="shared" si="25"/>
        <v>2.5000000000000001E-2</v>
      </c>
      <c r="X140" s="189">
        <f t="shared" si="26"/>
        <v>0.16250000000000001</v>
      </c>
      <c r="Y140" s="189">
        <f t="shared" si="27"/>
        <v>0</v>
      </c>
      <c r="Z140" s="189">
        <f t="shared" si="28"/>
        <v>0.05</v>
      </c>
      <c r="AA140" s="189">
        <f t="shared" si="29"/>
        <v>0.05</v>
      </c>
      <c r="AB140" s="189">
        <f t="shared" si="30"/>
        <v>0.1</v>
      </c>
      <c r="AC140" s="189">
        <f t="shared" si="31"/>
        <v>1.2500000000000001E-2</v>
      </c>
      <c r="AD140" s="189">
        <f t="shared" si="32"/>
        <v>0.1125</v>
      </c>
      <c r="AE140" s="189">
        <f t="shared" si="33"/>
        <v>0.125</v>
      </c>
      <c r="AF140" s="189">
        <f t="shared" si="36"/>
        <v>4.2012393656128558E-3</v>
      </c>
      <c r="AG140" s="189">
        <f>town_establishments[[#This Row],[share of state establishments]]/($AF$250-$AF$249)</f>
        <v>4.345700472594926E-3</v>
      </c>
      <c r="AH140" s="189">
        <f>town_establishments[[#This Row],[share of state establishments (no residual)]]/(INDEX(regional_establishments[share of state establishments],MATCH(town_establishments[[#This Row],[Regional Planning Commission]],regional_establishments[Regional Planning Commission],0)))</f>
        <v>3.9428289797930012E-2</v>
      </c>
    </row>
    <row r="141" spans="1:34" x14ac:dyDescent="0.25">
      <c r="A141" t="s">
        <v>356</v>
      </c>
      <c r="B141" t="str">
        <f>INDEX(town_population[Regional Planning Commission],MATCH(town_establishments[[#This Row],[Municipality]],town_population[Municipality],0))</f>
        <v>Northeastern Vermont Development Association</v>
      </c>
      <c r="D141">
        <v>3</v>
      </c>
      <c r="E141">
        <v>1</v>
      </c>
      <c r="K141">
        <v>1</v>
      </c>
      <c r="O141">
        <v>1</v>
      </c>
      <c r="P141">
        <v>1</v>
      </c>
      <c r="Q141">
        <f t="shared" si="34"/>
        <v>7</v>
      </c>
      <c r="R141" s="189">
        <f t="shared" si="35"/>
        <v>0</v>
      </c>
      <c r="S141" s="189">
        <f t="shared" si="21"/>
        <v>0.42857142857142855</v>
      </c>
      <c r="T141" s="189">
        <f t="shared" si="22"/>
        <v>0.14285714285714285</v>
      </c>
      <c r="U141" s="189">
        <f t="shared" si="23"/>
        <v>0</v>
      </c>
      <c r="V141" s="189">
        <f t="shared" si="24"/>
        <v>0</v>
      </c>
      <c r="W141" s="189">
        <f t="shared" si="25"/>
        <v>0</v>
      </c>
      <c r="X141" s="189">
        <f t="shared" si="26"/>
        <v>0</v>
      </c>
      <c r="Y141" s="189">
        <f t="shared" si="27"/>
        <v>0</v>
      </c>
      <c r="Z141" s="189">
        <f t="shared" si="28"/>
        <v>0.14285714285714285</v>
      </c>
      <c r="AA141" s="189">
        <f t="shared" si="29"/>
        <v>0</v>
      </c>
      <c r="AB141" s="189">
        <f t="shared" si="30"/>
        <v>0</v>
      </c>
      <c r="AC141" s="189">
        <f t="shared" si="31"/>
        <v>0</v>
      </c>
      <c r="AD141" s="189">
        <f t="shared" si="32"/>
        <v>0.14285714285714285</v>
      </c>
      <c r="AE141" s="189">
        <f t="shared" si="33"/>
        <v>0.14285714285714285</v>
      </c>
      <c r="AF141" s="189">
        <f t="shared" si="36"/>
        <v>3.676084444911249E-4</v>
      </c>
      <c r="AG141" s="189">
        <f>town_establishments[[#This Row],[share of state establishments]]/($AF$250-$AF$249)</f>
        <v>3.8024879135205606E-4</v>
      </c>
      <c r="AH141" s="189">
        <f>town_establishments[[#This Row],[share of state establishments (no residual)]]/(INDEX(regional_establishments[share of state establishments],MATCH(town_establishments[[#This Row],[Regional Planning Commission]],regional_establishments[Regional Planning Commission],0)))</f>
        <v>4.7978067169294038E-3</v>
      </c>
    </row>
    <row r="142" spans="1:34" x14ac:dyDescent="0.25">
      <c r="A142" t="s">
        <v>357</v>
      </c>
      <c r="B142" t="str">
        <f>INDEX(town_population[Regional Planning Commission],MATCH(town_establishments[[#This Row],[Municipality]],town_population[Municipality],0))</f>
        <v>Two Rivers-Ottauquechee Regional Commission</v>
      </c>
      <c r="C142">
        <v>6</v>
      </c>
      <c r="D142">
        <v>12</v>
      </c>
      <c r="E142">
        <v>1</v>
      </c>
      <c r="F142">
        <v>3</v>
      </c>
      <c r="G142">
        <v>7</v>
      </c>
      <c r="H142">
        <v>2</v>
      </c>
      <c r="I142">
        <v>33</v>
      </c>
      <c r="J142">
        <v>1</v>
      </c>
      <c r="K142">
        <v>8</v>
      </c>
      <c r="L142">
        <v>1</v>
      </c>
      <c r="M142">
        <v>10</v>
      </c>
      <c r="N142">
        <v>4</v>
      </c>
      <c r="O142">
        <v>2</v>
      </c>
      <c r="P142">
        <v>21</v>
      </c>
      <c r="Q142">
        <f t="shared" si="34"/>
        <v>111</v>
      </c>
      <c r="R142" s="189">
        <f t="shared" si="35"/>
        <v>5.4054054054054057E-2</v>
      </c>
      <c r="S142" s="189">
        <f t="shared" si="21"/>
        <v>0.10810810810810811</v>
      </c>
      <c r="T142" s="189">
        <f t="shared" si="22"/>
        <v>9.0090090090090089E-3</v>
      </c>
      <c r="U142" s="189">
        <f t="shared" si="23"/>
        <v>2.7027027027027029E-2</v>
      </c>
      <c r="V142" s="189">
        <f t="shared" si="24"/>
        <v>6.3063063063063057E-2</v>
      </c>
      <c r="W142" s="189">
        <f t="shared" si="25"/>
        <v>1.8018018018018018E-2</v>
      </c>
      <c r="X142" s="189">
        <f t="shared" si="26"/>
        <v>0.29729729729729731</v>
      </c>
      <c r="Y142" s="189">
        <f t="shared" si="27"/>
        <v>9.0090090090090089E-3</v>
      </c>
      <c r="Z142" s="189">
        <f t="shared" si="28"/>
        <v>7.2072072072072071E-2</v>
      </c>
      <c r="AA142" s="189">
        <f t="shared" si="29"/>
        <v>9.0090090090090089E-3</v>
      </c>
      <c r="AB142" s="189">
        <f t="shared" si="30"/>
        <v>9.0090090090090086E-2</v>
      </c>
      <c r="AC142" s="189">
        <f t="shared" si="31"/>
        <v>3.6036036036036036E-2</v>
      </c>
      <c r="AD142" s="189">
        <f t="shared" si="32"/>
        <v>1.8018018018018018E-2</v>
      </c>
      <c r="AE142" s="189">
        <f t="shared" si="33"/>
        <v>0.1891891891891892</v>
      </c>
      <c r="AF142" s="189">
        <f t="shared" si="36"/>
        <v>5.8292196197878374E-3</v>
      </c>
      <c r="AG142" s="189">
        <f>town_establishments[[#This Row],[share of state establishments]]/($AF$250-$AF$249)</f>
        <v>6.0296594057254608E-3</v>
      </c>
      <c r="AH142" s="189">
        <f>town_establishments[[#This Row],[share of state establishments (no residual)]]/(INDEX(regional_establishments[share of state establishments],MATCH(town_establishments[[#This Row],[Regional Planning Commission]],regional_establishments[Regional Planning Commission],0)))</f>
        <v>6.8518518518518534E-2</v>
      </c>
    </row>
    <row r="143" spans="1:34" x14ac:dyDescent="0.25">
      <c r="A143" t="s">
        <v>358</v>
      </c>
      <c r="B143" t="str">
        <f>INDEX(town_population[Regional Planning Commission],MATCH(town_establishments[[#This Row],[Municipality]],town_population[Municipality],0))</f>
        <v>Central Vermont Regional Planning Commission</v>
      </c>
      <c r="C143">
        <v>2</v>
      </c>
      <c r="L143">
        <v>1</v>
      </c>
      <c r="M143">
        <v>1</v>
      </c>
      <c r="Q143">
        <f t="shared" si="34"/>
        <v>4</v>
      </c>
      <c r="R143" s="189">
        <f t="shared" si="35"/>
        <v>0.5</v>
      </c>
      <c r="S143" s="189">
        <f t="shared" si="21"/>
        <v>0</v>
      </c>
      <c r="T143" s="189">
        <f t="shared" si="22"/>
        <v>0</v>
      </c>
      <c r="U143" s="189">
        <f t="shared" si="23"/>
        <v>0</v>
      </c>
      <c r="V143" s="189">
        <f t="shared" si="24"/>
        <v>0</v>
      </c>
      <c r="W143" s="189">
        <f t="shared" si="25"/>
        <v>0</v>
      </c>
      <c r="X143" s="189">
        <f t="shared" si="26"/>
        <v>0</v>
      </c>
      <c r="Y143" s="189">
        <f t="shared" si="27"/>
        <v>0</v>
      </c>
      <c r="Z143" s="189">
        <f t="shared" si="28"/>
        <v>0</v>
      </c>
      <c r="AA143" s="189">
        <f t="shared" si="29"/>
        <v>0.25</v>
      </c>
      <c r="AB143" s="189">
        <f t="shared" si="30"/>
        <v>0.25</v>
      </c>
      <c r="AC143" s="189">
        <f t="shared" si="31"/>
        <v>0</v>
      </c>
      <c r="AD143" s="189">
        <f t="shared" si="32"/>
        <v>0</v>
      </c>
      <c r="AE143" s="189">
        <f t="shared" si="33"/>
        <v>0</v>
      </c>
      <c r="AF143" s="189">
        <f t="shared" si="36"/>
        <v>2.1006196828064278E-4</v>
      </c>
      <c r="AG143" s="189">
        <f>town_establishments[[#This Row],[share of state establishments]]/($AF$250-$AF$249)</f>
        <v>2.172850236297463E-4</v>
      </c>
      <c r="AH143" s="189">
        <f>town_establishments[[#This Row],[share of state establishments (no residual)]]/(INDEX(regional_establishments[share of state establishments],MATCH(town_establishments[[#This Row],[Regional Planning Commission]],regional_establishments[Regional Planning Commission],0)))</f>
        <v>1.9714144898965004E-3</v>
      </c>
    </row>
    <row r="144" spans="1:34" x14ac:dyDescent="0.25">
      <c r="A144" t="s">
        <v>359</v>
      </c>
      <c r="B144" t="str">
        <f>INDEX(town_population[Regional Planning Commission],MATCH(town_establishments[[#This Row],[Municipality]],town_population[Municipality],0))</f>
        <v>Addison County Regional Planning Commission</v>
      </c>
      <c r="D144">
        <v>2</v>
      </c>
      <c r="E144">
        <v>2</v>
      </c>
      <c r="G144">
        <v>2</v>
      </c>
      <c r="I144">
        <v>1</v>
      </c>
      <c r="K144">
        <v>1</v>
      </c>
      <c r="L144">
        <v>1</v>
      </c>
      <c r="N144">
        <v>1</v>
      </c>
      <c r="O144">
        <v>1</v>
      </c>
      <c r="Q144">
        <f t="shared" si="34"/>
        <v>11</v>
      </c>
      <c r="R144" s="189">
        <f t="shared" si="35"/>
        <v>0</v>
      </c>
      <c r="S144" s="189">
        <f t="shared" si="21"/>
        <v>0.18181818181818182</v>
      </c>
      <c r="T144" s="189">
        <f t="shared" si="22"/>
        <v>0.18181818181818182</v>
      </c>
      <c r="U144" s="189">
        <f t="shared" si="23"/>
        <v>0</v>
      </c>
      <c r="V144" s="189">
        <f t="shared" si="24"/>
        <v>0.18181818181818182</v>
      </c>
      <c r="W144" s="189">
        <f t="shared" si="25"/>
        <v>0</v>
      </c>
      <c r="X144" s="189">
        <f t="shared" si="26"/>
        <v>9.0909090909090912E-2</v>
      </c>
      <c r="Y144" s="189">
        <f t="shared" si="27"/>
        <v>0</v>
      </c>
      <c r="Z144" s="189">
        <f t="shared" si="28"/>
        <v>9.0909090909090912E-2</v>
      </c>
      <c r="AA144" s="189">
        <f t="shared" si="29"/>
        <v>9.0909090909090912E-2</v>
      </c>
      <c r="AB144" s="189">
        <f t="shared" si="30"/>
        <v>0</v>
      </c>
      <c r="AC144" s="189">
        <f t="shared" si="31"/>
        <v>9.0909090909090912E-2</v>
      </c>
      <c r="AD144" s="189">
        <f t="shared" si="32"/>
        <v>9.0909090909090912E-2</v>
      </c>
      <c r="AE144" s="189">
        <f t="shared" si="33"/>
        <v>0</v>
      </c>
      <c r="AF144" s="189">
        <f t="shared" si="36"/>
        <v>5.7767041277176768E-4</v>
      </c>
      <c r="AG144" s="189">
        <f>town_establishments[[#This Row],[share of state establishments]]/($AF$250-$AF$249)</f>
        <v>5.9753381498180234E-4</v>
      </c>
      <c r="AH144" s="189">
        <f>town_establishments[[#This Row],[share of state establishments (no residual)]]/(INDEX(regional_establishments[share of state establishments],MATCH(town_establishments[[#This Row],[Regional Planning Commission]],regional_establishments[Regional Planning Commission],0)))</f>
        <v>1.1752136752136752E-2</v>
      </c>
    </row>
    <row r="145" spans="1:34" x14ac:dyDescent="0.25">
      <c r="A145" t="s">
        <v>360</v>
      </c>
      <c r="B145" t="str">
        <f>INDEX(town_population[Regional Planning Commission],MATCH(town_establishments[[#This Row],[Municipality]],town_population[Municipality],0))</f>
        <v>Addison County Regional Planning Commission</v>
      </c>
      <c r="K145">
        <v>2</v>
      </c>
      <c r="Q145">
        <f t="shared" si="34"/>
        <v>2</v>
      </c>
      <c r="R145" s="189">
        <f t="shared" si="35"/>
        <v>0</v>
      </c>
      <c r="S145" s="189">
        <f t="shared" si="21"/>
        <v>0</v>
      </c>
      <c r="T145" s="189">
        <f t="shared" si="22"/>
        <v>0</v>
      </c>
      <c r="U145" s="189">
        <f t="shared" si="23"/>
        <v>0</v>
      </c>
      <c r="V145" s="189">
        <f t="shared" si="24"/>
        <v>0</v>
      </c>
      <c r="W145" s="189">
        <f t="shared" si="25"/>
        <v>0</v>
      </c>
      <c r="X145" s="189">
        <f t="shared" si="26"/>
        <v>0</v>
      </c>
      <c r="Y145" s="189">
        <f t="shared" si="27"/>
        <v>0</v>
      </c>
      <c r="Z145" s="189">
        <f t="shared" si="28"/>
        <v>1</v>
      </c>
      <c r="AA145" s="189">
        <f t="shared" si="29"/>
        <v>0</v>
      </c>
      <c r="AB145" s="189">
        <f t="shared" si="30"/>
        <v>0</v>
      </c>
      <c r="AC145" s="189">
        <f t="shared" si="31"/>
        <v>0</v>
      </c>
      <c r="AD145" s="189">
        <f t="shared" si="32"/>
        <v>0</v>
      </c>
      <c r="AE145" s="189">
        <f t="shared" si="33"/>
        <v>0</v>
      </c>
      <c r="AF145" s="189">
        <f t="shared" si="36"/>
        <v>1.0503098414032139E-4</v>
      </c>
      <c r="AG145" s="189">
        <f>town_establishments[[#This Row],[share of state establishments]]/($AF$250-$AF$249)</f>
        <v>1.0864251181487315E-4</v>
      </c>
      <c r="AH145" s="189">
        <f>town_establishments[[#This Row],[share of state establishments (no residual)]]/(INDEX(regional_establishments[share of state establishments],MATCH(town_establishments[[#This Row],[Regional Planning Commission]],regional_establishments[Regional Planning Commission],0)))</f>
        <v>2.136752136752137E-3</v>
      </c>
    </row>
    <row r="146" spans="1:34" x14ac:dyDescent="0.25">
      <c r="A146" t="s">
        <v>361</v>
      </c>
      <c r="B146" t="str">
        <f>INDEX(town_population[Regional Planning Commission],MATCH(town_establishments[[#This Row],[Municipality]],town_population[Municipality],0))</f>
        <v>Rutland Regional Planning Commission</v>
      </c>
      <c r="C146">
        <v>5</v>
      </c>
      <c r="D146">
        <v>1</v>
      </c>
      <c r="E146">
        <v>5</v>
      </c>
      <c r="G146">
        <v>2</v>
      </c>
      <c r="H146">
        <v>1</v>
      </c>
      <c r="I146">
        <v>7</v>
      </c>
      <c r="K146">
        <v>7</v>
      </c>
      <c r="L146">
        <v>3</v>
      </c>
      <c r="M146">
        <v>1</v>
      </c>
      <c r="N146">
        <v>3</v>
      </c>
      <c r="O146">
        <v>2</v>
      </c>
      <c r="P146">
        <v>3</v>
      </c>
      <c r="Q146">
        <f t="shared" si="34"/>
        <v>40</v>
      </c>
      <c r="R146" s="189">
        <f t="shared" si="35"/>
        <v>0.125</v>
      </c>
      <c r="S146" s="189">
        <f t="shared" si="21"/>
        <v>2.5000000000000001E-2</v>
      </c>
      <c r="T146" s="189">
        <f t="shared" si="22"/>
        <v>0.125</v>
      </c>
      <c r="U146" s="189">
        <f t="shared" si="23"/>
        <v>0</v>
      </c>
      <c r="V146" s="189">
        <f t="shared" si="24"/>
        <v>0.05</v>
      </c>
      <c r="W146" s="189">
        <f t="shared" si="25"/>
        <v>2.5000000000000001E-2</v>
      </c>
      <c r="X146" s="189">
        <f t="shared" si="26"/>
        <v>0.17499999999999999</v>
      </c>
      <c r="Y146" s="189">
        <f t="shared" si="27"/>
        <v>0</v>
      </c>
      <c r="Z146" s="189">
        <f t="shared" si="28"/>
        <v>0.17499999999999999</v>
      </c>
      <c r="AA146" s="189">
        <f t="shared" si="29"/>
        <v>7.4999999999999997E-2</v>
      </c>
      <c r="AB146" s="189">
        <f t="shared" si="30"/>
        <v>2.5000000000000001E-2</v>
      </c>
      <c r="AC146" s="189">
        <f t="shared" si="31"/>
        <v>7.4999999999999997E-2</v>
      </c>
      <c r="AD146" s="189">
        <f t="shared" si="32"/>
        <v>0.05</v>
      </c>
      <c r="AE146" s="189">
        <f t="shared" si="33"/>
        <v>7.4999999999999997E-2</v>
      </c>
      <c r="AF146" s="189">
        <f t="shared" si="36"/>
        <v>2.1006196828064279E-3</v>
      </c>
      <c r="AG146" s="189">
        <f>town_establishments[[#This Row],[share of state establishments]]/($AF$250-$AF$249)</f>
        <v>2.172850236297463E-3</v>
      </c>
      <c r="AH146" s="189">
        <f>town_establishments[[#This Row],[share of state establishments (no residual)]]/(INDEX(regional_establishments[share of state establishments],MATCH(town_establishments[[#This Row],[Regional Planning Commission]],regional_establishments[Regional Planning Commission],0)))</f>
        <v>2.2497187851518555E-2</v>
      </c>
    </row>
    <row r="147" spans="1:34" x14ac:dyDescent="0.25">
      <c r="A147" t="s">
        <v>362</v>
      </c>
      <c r="B147" t="str">
        <f>INDEX(town_population[Regional Planning Commission],MATCH(town_establishments[[#This Row],[Municipality]],town_population[Municipality],0))</f>
        <v>Northeastern Vermont Development Association</v>
      </c>
      <c r="E147">
        <v>1</v>
      </c>
      <c r="G147">
        <v>1</v>
      </c>
      <c r="I147">
        <v>1</v>
      </c>
      <c r="J147">
        <v>1</v>
      </c>
      <c r="K147">
        <v>1</v>
      </c>
      <c r="L147">
        <v>1</v>
      </c>
      <c r="Q147">
        <f t="shared" si="34"/>
        <v>6</v>
      </c>
      <c r="R147" s="189">
        <f t="shared" si="35"/>
        <v>0</v>
      </c>
      <c r="S147" s="189">
        <f t="shared" ref="S147:S210" si="37">IF($Q147&lt;&gt;0,D147/$Q147,0)</f>
        <v>0</v>
      </c>
      <c r="T147" s="189">
        <f t="shared" ref="T147:T210" si="38">IF($Q147&lt;&gt;0,E147/$Q147,0)</f>
        <v>0.16666666666666666</v>
      </c>
      <c r="U147" s="189">
        <f t="shared" ref="U147:U210" si="39">IF($Q147&lt;&gt;0,F147/$Q147,0)</f>
        <v>0</v>
      </c>
      <c r="V147" s="189">
        <f t="shared" ref="V147:V210" si="40">IF($Q147&lt;&gt;0,G147/$Q147,0)</f>
        <v>0.16666666666666666</v>
      </c>
      <c r="W147" s="189">
        <f t="shared" ref="W147:W210" si="41">IF($Q147&lt;&gt;0,H147/$Q147,0)</f>
        <v>0</v>
      </c>
      <c r="X147" s="189">
        <f t="shared" ref="X147:X210" si="42">IF($Q147&lt;&gt;0,I147/$Q147,0)</f>
        <v>0.16666666666666666</v>
      </c>
      <c r="Y147" s="189">
        <f t="shared" ref="Y147:Y210" si="43">IF($Q147&lt;&gt;0,J147/$Q147,0)</f>
        <v>0.16666666666666666</v>
      </c>
      <c r="Z147" s="189">
        <f t="shared" ref="Z147:Z210" si="44">IF($Q147&lt;&gt;0,K147/$Q147,0)</f>
        <v>0.16666666666666666</v>
      </c>
      <c r="AA147" s="189">
        <f t="shared" ref="AA147:AA210" si="45">IF($Q147&lt;&gt;0,L147/$Q147,0)</f>
        <v>0.16666666666666666</v>
      </c>
      <c r="AB147" s="189">
        <f t="shared" ref="AB147:AB210" si="46">IF($Q147&lt;&gt;0,M147/$Q147,0)</f>
        <v>0</v>
      </c>
      <c r="AC147" s="189">
        <f t="shared" ref="AC147:AC210" si="47">IF($Q147&lt;&gt;0,N147/$Q147,0)</f>
        <v>0</v>
      </c>
      <c r="AD147" s="189">
        <f t="shared" ref="AD147:AD210" si="48">IF($Q147&lt;&gt;0,O147/$Q147,0)</f>
        <v>0</v>
      </c>
      <c r="AE147" s="189">
        <f t="shared" ref="AE147:AE210" si="49">IF($Q147&lt;&gt;0,P147/$Q147,0)</f>
        <v>0</v>
      </c>
      <c r="AF147" s="189">
        <f t="shared" si="36"/>
        <v>3.150929524209642E-4</v>
      </c>
      <c r="AG147" s="189">
        <f>town_establishments[[#This Row],[share of state establishments]]/($AF$250-$AF$249)</f>
        <v>3.2592753544461947E-4</v>
      </c>
      <c r="AH147" s="189">
        <f>town_establishments[[#This Row],[share of state establishments (no residual)]]/(INDEX(regional_establishments[share of state establishments],MATCH(town_establishments[[#This Row],[Regional Planning Commission]],regional_establishments[Regional Planning Commission],0)))</f>
        <v>4.1124057573680602E-3</v>
      </c>
    </row>
    <row r="148" spans="1:34" x14ac:dyDescent="0.25">
      <c r="A148" t="s">
        <v>363</v>
      </c>
      <c r="B148" t="str">
        <f>INDEX(town_population[Regional Planning Commission],MATCH(town_establishments[[#This Row],[Municipality]],town_population[Municipality],0))</f>
        <v>Bennington County Regional Commission</v>
      </c>
      <c r="C148">
        <v>1</v>
      </c>
      <c r="D148">
        <v>3</v>
      </c>
      <c r="E148">
        <v>1</v>
      </c>
      <c r="I148">
        <v>2</v>
      </c>
      <c r="K148">
        <v>2</v>
      </c>
      <c r="N148">
        <v>3</v>
      </c>
      <c r="O148">
        <v>2</v>
      </c>
      <c r="P148">
        <v>2</v>
      </c>
      <c r="Q148">
        <f t="shared" si="34"/>
        <v>16</v>
      </c>
      <c r="R148" s="189">
        <f t="shared" si="35"/>
        <v>6.25E-2</v>
      </c>
      <c r="S148" s="189">
        <f t="shared" si="37"/>
        <v>0.1875</v>
      </c>
      <c r="T148" s="189">
        <f t="shared" si="38"/>
        <v>6.25E-2</v>
      </c>
      <c r="U148" s="189">
        <f t="shared" si="39"/>
        <v>0</v>
      </c>
      <c r="V148" s="189">
        <f t="shared" si="40"/>
        <v>0</v>
      </c>
      <c r="W148" s="189">
        <f t="shared" si="41"/>
        <v>0</v>
      </c>
      <c r="X148" s="189">
        <f t="shared" si="42"/>
        <v>0.125</v>
      </c>
      <c r="Y148" s="189">
        <f t="shared" si="43"/>
        <v>0</v>
      </c>
      <c r="Z148" s="189">
        <f t="shared" si="44"/>
        <v>0.125</v>
      </c>
      <c r="AA148" s="189">
        <f t="shared" si="45"/>
        <v>0</v>
      </c>
      <c r="AB148" s="189">
        <f t="shared" si="46"/>
        <v>0</v>
      </c>
      <c r="AC148" s="189">
        <f t="shared" si="47"/>
        <v>0.1875</v>
      </c>
      <c r="AD148" s="189">
        <f t="shared" si="48"/>
        <v>0.125</v>
      </c>
      <c r="AE148" s="189">
        <f t="shared" si="49"/>
        <v>0.125</v>
      </c>
      <c r="AF148" s="189">
        <f t="shared" si="36"/>
        <v>8.4024787312257112E-4</v>
      </c>
      <c r="AG148" s="189">
        <f>town_establishments[[#This Row],[share of state establishments]]/($AF$250-$AF$249)</f>
        <v>8.6914009451898521E-4</v>
      </c>
      <c r="AH148" s="189">
        <f>town_establishments[[#This Row],[share of state establishments (no residual)]]/(INDEX(regional_establishments[share of state establishments],MATCH(town_establishments[[#This Row],[Regional Planning Commission]],regional_establishments[Regional Planning Commission],0)))</f>
        <v>1.3949433304272009E-2</v>
      </c>
    </row>
    <row r="149" spans="1:34" x14ac:dyDescent="0.25">
      <c r="A149" t="s">
        <v>364</v>
      </c>
      <c r="B149" t="str">
        <f>INDEX(town_population[Regional Planning Commission],MATCH(town_establishments[[#This Row],[Municipality]],town_population[Municipality],0))</f>
        <v>Two Rivers-Ottauquechee Regional Commission</v>
      </c>
      <c r="D149">
        <v>6</v>
      </c>
      <c r="E149">
        <v>1</v>
      </c>
      <c r="I149">
        <v>4</v>
      </c>
      <c r="J149">
        <v>1</v>
      </c>
      <c r="K149">
        <v>2</v>
      </c>
      <c r="N149">
        <v>1</v>
      </c>
      <c r="O149">
        <v>6</v>
      </c>
      <c r="Q149">
        <f t="shared" si="34"/>
        <v>21</v>
      </c>
      <c r="R149" s="189">
        <f t="shared" si="35"/>
        <v>0</v>
      </c>
      <c r="S149" s="189">
        <f t="shared" si="37"/>
        <v>0.2857142857142857</v>
      </c>
      <c r="T149" s="189">
        <f t="shared" si="38"/>
        <v>4.7619047619047616E-2</v>
      </c>
      <c r="U149" s="189">
        <f t="shared" si="39"/>
        <v>0</v>
      </c>
      <c r="V149" s="189">
        <f t="shared" si="40"/>
        <v>0</v>
      </c>
      <c r="W149" s="189">
        <f t="shared" si="41"/>
        <v>0</v>
      </c>
      <c r="X149" s="189">
        <f t="shared" si="42"/>
        <v>0.19047619047619047</v>
      </c>
      <c r="Y149" s="189">
        <f t="shared" si="43"/>
        <v>4.7619047619047616E-2</v>
      </c>
      <c r="Z149" s="189">
        <f t="shared" si="44"/>
        <v>9.5238095238095233E-2</v>
      </c>
      <c r="AA149" s="189">
        <f t="shared" si="45"/>
        <v>0</v>
      </c>
      <c r="AB149" s="189">
        <f t="shared" si="46"/>
        <v>0</v>
      </c>
      <c r="AC149" s="189">
        <f t="shared" si="47"/>
        <v>4.7619047619047616E-2</v>
      </c>
      <c r="AD149" s="189">
        <f t="shared" si="48"/>
        <v>0.2857142857142857</v>
      </c>
      <c r="AE149" s="189">
        <f t="shared" si="49"/>
        <v>0</v>
      </c>
      <c r="AF149" s="189">
        <f t="shared" si="36"/>
        <v>1.1028253334733746E-3</v>
      </c>
      <c r="AG149" s="189">
        <f>town_establishments[[#This Row],[share of state establishments]]/($AF$250-$AF$249)</f>
        <v>1.140746374056168E-3</v>
      </c>
      <c r="AH149" s="189">
        <f>town_establishments[[#This Row],[share of state establishments (no residual)]]/(INDEX(regional_establishments[share of state establishments],MATCH(town_establishments[[#This Row],[Regional Planning Commission]],regional_establishments[Regional Planning Commission],0)))</f>
        <v>1.2962962962962963E-2</v>
      </c>
    </row>
    <row r="150" spans="1:34" x14ac:dyDescent="0.25">
      <c r="A150" t="s">
        <v>365</v>
      </c>
      <c r="B150" t="str">
        <f>INDEX(town_population[Regional Planning Commission],MATCH(town_establishments[[#This Row],[Municipality]],town_population[Municipality],0))</f>
        <v>Rutland Regional Planning Commission</v>
      </c>
      <c r="C150">
        <v>7</v>
      </c>
      <c r="D150">
        <v>13</v>
      </c>
      <c r="E150">
        <v>4</v>
      </c>
      <c r="H150">
        <v>3</v>
      </c>
      <c r="I150">
        <v>5</v>
      </c>
      <c r="K150">
        <v>8</v>
      </c>
      <c r="L150">
        <v>1</v>
      </c>
      <c r="M150">
        <v>1</v>
      </c>
      <c r="N150">
        <v>1</v>
      </c>
      <c r="O150">
        <v>5</v>
      </c>
      <c r="P150">
        <v>11</v>
      </c>
      <c r="Q150">
        <f t="shared" si="34"/>
        <v>59</v>
      </c>
      <c r="R150" s="189">
        <f t="shared" si="35"/>
        <v>0.11864406779661017</v>
      </c>
      <c r="S150" s="189">
        <f t="shared" si="37"/>
        <v>0.22033898305084745</v>
      </c>
      <c r="T150" s="189">
        <f t="shared" si="38"/>
        <v>6.7796610169491525E-2</v>
      </c>
      <c r="U150" s="189">
        <f t="shared" si="39"/>
        <v>0</v>
      </c>
      <c r="V150" s="189">
        <f t="shared" si="40"/>
        <v>0</v>
      </c>
      <c r="W150" s="189">
        <f t="shared" si="41"/>
        <v>5.0847457627118647E-2</v>
      </c>
      <c r="X150" s="189">
        <f t="shared" si="42"/>
        <v>8.4745762711864403E-2</v>
      </c>
      <c r="Y150" s="189">
        <f t="shared" si="43"/>
        <v>0</v>
      </c>
      <c r="Z150" s="189">
        <f t="shared" si="44"/>
        <v>0.13559322033898305</v>
      </c>
      <c r="AA150" s="189">
        <f t="shared" si="45"/>
        <v>1.6949152542372881E-2</v>
      </c>
      <c r="AB150" s="189">
        <f t="shared" si="46"/>
        <v>1.6949152542372881E-2</v>
      </c>
      <c r="AC150" s="189">
        <f t="shared" si="47"/>
        <v>1.6949152542372881E-2</v>
      </c>
      <c r="AD150" s="189">
        <f t="shared" si="48"/>
        <v>8.4745762711864403E-2</v>
      </c>
      <c r="AE150" s="189">
        <f t="shared" si="49"/>
        <v>0.1864406779661017</v>
      </c>
      <c r="AF150" s="189">
        <f t="shared" si="36"/>
        <v>3.098414032139481E-3</v>
      </c>
      <c r="AG150" s="189">
        <f>town_establishments[[#This Row],[share of state establishments]]/($AF$250-$AF$249)</f>
        <v>3.2049540985387582E-3</v>
      </c>
      <c r="AH150" s="189">
        <f>town_establishments[[#This Row],[share of state establishments (no residual)]]/(INDEX(regional_establishments[share of state establishments],MATCH(town_establishments[[#This Row],[Regional Planning Commission]],regional_establishments[Regional Planning Commission],0)))</f>
        <v>3.3183352080989874E-2</v>
      </c>
    </row>
    <row r="151" spans="1:34" x14ac:dyDescent="0.25">
      <c r="A151" t="s">
        <v>366</v>
      </c>
      <c r="B151" t="str">
        <f>INDEX(town_population[Regional Planning Commission],MATCH(town_establishments[[#This Row],[Municipality]],town_population[Municipality],0))</f>
        <v>Central Vermont Regional Planning Commission</v>
      </c>
      <c r="D151">
        <v>3</v>
      </c>
      <c r="E151">
        <v>2</v>
      </c>
      <c r="F151">
        <v>2</v>
      </c>
      <c r="H151">
        <v>1</v>
      </c>
      <c r="I151">
        <v>8</v>
      </c>
      <c r="J151">
        <v>1</v>
      </c>
      <c r="K151">
        <v>6</v>
      </c>
      <c r="L151">
        <v>4</v>
      </c>
      <c r="M151">
        <v>3</v>
      </c>
      <c r="N151">
        <v>1</v>
      </c>
      <c r="O151">
        <v>1</v>
      </c>
      <c r="P151">
        <v>2</v>
      </c>
      <c r="Q151">
        <f t="shared" si="34"/>
        <v>34</v>
      </c>
      <c r="R151" s="189">
        <f t="shared" si="35"/>
        <v>0</v>
      </c>
      <c r="S151" s="189">
        <f t="shared" si="37"/>
        <v>8.8235294117647065E-2</v>
      </c>
      <c r="T151" s="189">
        <f t="shared" si="38"/>
        <v>5.8823529411764705E-2</v>
      </c>
      <c r="U151" s="189">
        <f t="shared" si="39"/>
        <v>5.8823529411764705E-2</v>
      </c>
      <c r="V151" s="189">
        <f t="shared" si="40"/>
        <v>0</v>
      </c>
      <c r="W151" s="189">
        <f t="shared" si="41"/>
        <v>2.9411764705882353E-2</v>
      </c>
      <c r="X151" s="189">
        <f t="shared" si="42"/>
        <v>0.23529411764705882</v>
      </c>
      <c r="Y151" s="189">
        <f t="shared" si="43"/>
        <v>2.9411764705882353E-2</v>
      </c>
      <c r="Z151" s="189">
        <f t="shared" si="44"/>
        <v>0.17647058823529413</v>
      </c>
      <c r="AA151" s="189">
        <f t="shared" si="45"/>
        <v>0.11764705882352941</v>
      </c>
      <c r="AB151" s="189">
        <f t="shared" si="46"/>
        <v>8.8235294117647065E-2</v>
      </c>
      <c r="AC151" s="189">
        <f t="shared" si="47"/>
        <v>2.9411764705882353E-2</v>
      </c>
      <c r="AD151" s="189">
        <f t="shared" si="48"/>
        <v>2.9411764705882353E-2</v>
      </c>
      <c r="AE151" s="189">
        <f t="shared" si="49"/>
        <v>5.8823529411764705E-2</v>
      </c>
      <c r="AF151" s="189">
        <f t="shared" si="36"/>
        <v>1.7855267303854637E-3</v>
      </c>
      <c r="AG151" s="189">
        <f>town_establishments[[#This Row],[share of state establishments]]/($AF$250-$AF$249)</f>
        <v>1.8469227008528436E-3</v>
      </c>
      <c r="AH151" s="189">
        <f>town_establishments[[#This Row],[share of state establishments (no residual)]]/(INDEX(regional_establishments[share of state establishments],MATCH(town_establishments[[#This Row],[Regional Planning Commission]],regional_establishments[Regional Planning Commission],0)))</f>
        <v>1.6757023164120255E-2</v>
      </c>
    </row>
    <row r="152" spans="1:34" x14ac:dyDescent="0.25">
      <c r="A152" t="s">
        <v>367</v>
      </c>
      <c r="B152" t="str">
        <f>INDEX(town_population[Regional Planning Commission],MATCH(town_establishments[[#This Row],[Municipality]],town_population[Municipality],0))</f>
        <v>Two Rivers-Ottauquechee Regional Commission</v>
      </c>
      <c r="E152">
        <v>1</v>
      </c>
      <c r="H152">
        <v>1</v>
      </c>
      <c r="I152">
        <v>3</v>
      </c>
      <c r="K152">
        <v>3</v>
      </c>
      <c r="L152">
        <v>1</v>
      </c>
      <c r="N152">
        <v>2</v>
      </c>
      <c r="O152">
        <v>6</v>
      </c>
      <c r="P152">
        <v>1</v>
      </c>
      <c r="Q152">
        <f t="shared" si="34"/>
        <v>18</v>
      </c>
      <c r="R152" s="189">
        <f t="shared" si="35"/>
        <v>0</v>
      </c>
      <c r="S152" s="189">
        <f t="shared" si="37"/>
        <v>0</v>
      </c>
      <c r="T152" s="189">
        <f t="shared" si="38"/>
        <v>5.5555555555555552E-2</v>
      </c>
      <c r="U152" s="189">
        <f t="shared" si="39"/>
        <v>0</v>
      </c>
      <c r="V152" s="189">
        <f t="shared" si="40"/>
        <v>0</v>
      </c>
      <c r="W152" s="189">
        <f t="shared" si="41"/>
        <v>5.5555555555555552E-2</v>
      </c>
      <c r="X152" s="189">
        <f t="shared" si="42"/>
        <v>0.16666666666666666</v>
      </c>
      <c r="Y152" s="189">
        <f t="shared" si="43"/>
        <v>0</v>
      </c>
      <c r="Z152" s="189">
        <f t="shared" si="44"/>
        <v>0.16666666666666666</v>
      </c>
      <c r="AA152" s="189">
        <f t="shared" si="45"/>
        <v>5.5555555555555552E-2</v>
      </c>
      <c r="AB152" s="189">
        <f t="shared" si="46"/>
        <v>0</v>
      </c>
      <c r="AC152" s="189">
        <f t="shared" si="47"/>
        <v>0.1111111111111111</v>
      </c>
      <c r="AD152" s="189">
        <f t="shared" si="48"/>
        <v>0.33333333333333331</v>
      </c>
      <c r="AE152" s="189">
        <f t="shared" si="49"/>
        <v>5.5555555555555552E-2</v>
      </c>
      <c r="AF152" s="189">
        <f t="shared" si="36"/>
        <v>9.4527885726289253E-4</v>
      </c>
      <c r="AG152" s="189">
        <f>town_establishments[[#This Row],[share of state establishments]]/($AF$250-$AF$249)</f>
        <v>9.7778260633385851E-4</v>
      </c>
      <c r="AH152" s="189">
        <f>town_establishments[[#This Row],[share of state establishments (no residual)]]/(INDEX(regional_establishments[share of state establishments],MATCH(town_establishments[[#This Row],[Regional Planning Commission]],regional_establishments[Regional Planning Commission],0)))</f>
        <v>1.1111111111111113E-2</v>
      </c>
    </row>
    <row r="153" spans="1:34" x14ac:dyDescent="0.25">
      <c r="A153" t="s">
        <v>368</v>
      </c>
      <c r="B153" t="str">
        <f>INDEX(town_population[Regional Planning Commission],MATCH(town_establishments[[#This Row],[Municipality]],town_population[Municipality],0))</f>
        <v>Two Rivers-Ottauquechee Regional Commission</v>
      </c>
      <c r="C153">
        <v>3</v>
      </c>
      <c r="D153">
        <v>4</v>
      </c>
      <c r="E153">
        <v>1</v>
      </c>
      <c r="F153">
        <v>1</v>
      </c>
      <c r="H153">
        <v>2</v>
      </c>
      <c r="I153">
        <v>2</v>
      </c>
      <c r="K153">
        <v>3</v>
      </c>
      <c r="L153">
        <v>1</v>
      </c>
      <c r="N153">
        <v>1</v>
      </c>
      <c r="O153">
        <v>1</v>
      </c>
      <c r="P153">
        <v>5</v>
      </c>
      <c r="Q153">
        <f t="shared" si="34"/>
        <v>24</v>
      </c>
      <c r="R153" s="189">
        <f t="shared" si="35"/>
        <v>0.125</v>
      </c>
      <c r="S153" s="189">
        <f t="shared" si="37"/>
        <v>0.16666666666666666</v>
      </c>
      <c r="T153" s="189">
        <f t="shared" si="38"/>
        <v>4.1666666666666664E-2</v>
      </c>
      <c r="U153" s="189">
        <f t="shared" si="39"/>
        <v>4.1666666666666664E-2</v>
      </c>
      <c r="V153" s="189">
        <f t="shared" si="40"/>
        <v>0</v>
      </c>
      <c r="W153" s="189">
        <f t="shared" si="41"/>
        <v>8.3333333333333329E-2</v>
      </c>
      <c r="X153" s="189">
        <f t="shared" si="42"/>
        <v>8.3333333333333329E-2</v>
      </c>
      <c r="Y153" s="189">
        <f t="shared" si="43"/>
        <v>0</v>
      </c>
      <c r="Z153" s="189">
        <f t="shared" si="44"/>
        <v>0.125</v>
      </c>
      <c r="AA153" s="189">
        <f t="shared" si="45"/>
        <v>4.1666666666666664E-2</v>
      </c>
      <c r="AB153" s="189">
        <f t="shared" si="46"/>
        <v>0</v>
      </c>
      <c r="AC153" s="189">
        <f t="shared" si="47"/>
        <v>4.1666666666666664E-2</v>
      </c>
      <c r="AD153" s="189">
        <f t="shared" si="48"/>
        <v>4.1666666666666664E-2</v>
      </c>
      <c r="AE153" s="189">
        <f t="shared" si="49"/>
        <v>0.20833333333333334</v>
      </c>
      <c r="AF153" s="189">
        <f t="shared" si="36"/>
        <v>1.2603718096838568E-3</v>
      </c>
      <c r="AG153" s="189">
        <f>town_establishments[[#This Row],[share of state establishments]]/($AF$250-$AF$249)</f>
        <v>1.3037101417784779E-3</v>
      </c>
      <c r="AH153" s="189">
        <f>town_establishments[[#This Row],[share of state establishments (no residual)]]/(INDEX(regional_establishments[share of state establishments],MATCH(town_establishments[[#This Row],[Regional Planning Commission]],regional_establishments[Regional Planning Commission],0)))</f>
        <v>1.4814814814814815E-2</v>
      </c>
    </row>
    <row r="154" spans="1:34" x14ac:dyDescent="0.25">
      <c r="A154" t="s">
        <v>369</v>
      </c>
      <c r="B154" t="str">
        <f>INDEX(town_population[Regional Planning Commission],MATCH(town_establishments[[#This Row],[Municipality]],town_population[Municipality],0))</f>
        <v>Rutland Regional Planning Commission</v>
      </c>
      <c r="C154">
        <v>7</v>
      </c>
      <c r="D154">
        <v>16</v>
      </c>
      <c r="E154">
        <v>3</v>
      </c>
      <c r="F154">
        <v>1</v>
      </c>
      <c r="G154">
        <v>3</v>
      </c>
      <c r="H154">
        <v>0</v>
      </c>
      <c r="I154">
        <v>6</v>
      </c>
      <c r="J154">
        <v>1</v>
      </c>
      <c r="K154">
        <v>5</v>
      </c>
      <c r="L154">
        <v>2</v>
      </c>
      <c r="M154">
        <v>4</v>
      </c>
      <c r="N154">
        <v>1</v>
      </c>
      <c r="O154">
        <v>8</v>
      </c>
      <c r="P154">
        <v>8</v>
      </c>
      <c r="Q154">
        <f t="shared" si="34"/>
        <v>65</v>
      </c>
      <c r="R154" s="189">
        <f t="shared" si="35"/>
        <v>0.1076923076923077</v>
      </c>
      <c r="S154" s="189">
        <f t="shared" si="37"/>
        <v>0.24615384615384617</v>
      </c>
      <c r="T154" s="189">
        <f t="shared" si="38"/>
        <v>4.6153846153846156E-2</v>
      </c>
      <c r="U154" s="189">
        <f t="shared" si="39"/>
        <v>1.5384615384615385E-2</v>
      </c>
      <c r="V154" s="189">
        <f t="shared" si="40"/>
        <v>4.6153846153846156E-2</v>
      </c>
      <c r="W154" s="189">
        <f t="shared" si="41"/>
        <v>0</v>
      </c>
      <c r="X154" s="189">
        <f t="shared" si="42"/>
        <v>9.2307692307692313E-2</v>
      </c>
      <c r="Y154" s="189">
        <f t="shared" si="43"/>
        <v>1.5384615384615385E-2</v>
      </c>
      <c r="Z154" s="189">
        <f t="shared" si="44"/>
        <v>7.6923076923076927E-2</v>
      </c>
      <c r="AA154" s="189">
        <f t="shared" si="45"/>
        <v>3.0769230769230771E-2</v>
      </c>
      <c r="AB154" s="189">
        <f t="shared" si="46"/>
        <v>6.1538461538461542E-2</v>
      </c>
      <c r="AC154" s="189">
        <f t="shared" si="47"/>
        <v>1.5384615384615385E-2</v>
      </c>
      <c r="AD154" s="189">
        <f t="shared" si="48"/>
        <v>0.12307692307692308</v>
      </c>
      <c r="AE154" s="189">
        <f t="shared" si="49"/>
        <v>0.12307692307692308</v>
      </c>
      <c r="AF154" s="189">
        <f t="shared" si="36"/>
        <v>3.4135069845604455E-3</v>
      </c>
      <c r="AG154" s="189">
        <f>town_establishments[[#This Row],[share of state establishments]]/($AF$250-$AF$249)</f>
        <v>3.530881633983378E-3</v>
      </c>
      <c r="AH154" s="189">
        <f>town_establishments[[#This Row],[share of state establishments (no residual)]]/(INDEX(regional_establishments[share of state establishments],MATCH(town_establishments[[#This Row],[Regional Planning Commission]],regional_establishments[Regional Planning Commission],0)))</f>
        <v>3.6557930258717661E-2</v>
      </c>
    </row>
    <row r="155" spans="1:34" x14ac:dyDescent="0.25">
      <c r="A155" t="s">
        <v>370</v>
      </c>
      <c r="B155" t="str">
        <f>INDEX(town_population[Regional Planning Commission],MATCH(town_establishments[[#This Row],[Municipality]],town_population[Municipality],0))</f>
        <v>Bennington County Regional Commission</v>
      </c>
      <c r="C155">
        <v>1</v>
      </c>
      <c r="D155">
        <v>7</v>
      </c>
      <c r="E155">
        <v>2</v>
      </c>
      <c r="F155">
        <v>1</v>
      </c>
      <c r="I155">
        <v>3</v>
      </c>
      <c r="K155">
        <v>6</v>
      </c>
      <c r="L155">
        <v>1</v>
      </c>
      <c r="M155">
        <v>1</v>
      </c>
      <c r="P155">
        <v>2</v>
      </c>
      <c r="Q155">
        <f t="shared" si="34"/>
        <v>24</v>
      </c>
      <c r="R155" s="189">
        <f t="shared" si="35"/>
        <v>4.1666666666666664E-2</v>
      </c>
      <c r="S155" s="189">
        <f t="shared" si="37"/>
        <v>0.29166666666666669</v>
      </c>
      <c r="T155" s="189">
        <f t="shared" si="38"/>
        <v>8.3333333333333329E-2</v>
      </c>
      <c r="U155" s="189">
        <f t="shared" si="39"/>
        <v>4.1666666666666664E-2</v>
      </c>
      <c r="V155" s="189">
        <f t="shared" si="40"/>
        <v>0</v>
      </c>
      <c r="W155" s="189">
        <f t="shared" si="41"/>
        <v>0</v>
      </c>
      <c r="X155" s="189">
        <f t="shared" si="42"/>
        <v>0.125</v>
      </c>
      <c r="Y155" s="189">
        <f t="shared" si="43"/>
        <v>0</v>
      </c>
      <c r="Z155" s="189">
        <f t="shared" si="44"/>
        <v>0.25</v>
      </c>
      <c r="AA155" s="189">
        <f t="shared" si="45"/>
        <v>4.1666666666666664E-2</v>
      </c>
      <c r="AB155" s="189">
        <f t="shared" si="46"/>
        <v>4.1666666666666664E-2</v>
      </c>
      <c r="AC155" s="189">
        <f t="shared" si="47"/>
        <v>0</v>
      </c>
      <c r="AD155" s="189">
        <f t="shared" si="48"/>
        <v>0</v>
      </c>
      <c r="AE155" s="189">
        <f t="shared" si="49"/>
        <v>8.3333333333333329E-2</v>
      </c>
      <c r="AF155" s="189">
        <f t="shared" si="36"/>
        <v>1.2603718096838568E-3</v>
      </c>
      <c r="AG155" s="189">
        <f>town_establishments[[#This Row],[share of state establishments]]/($AF$250-$AF$249)</f>
        <v>1.3037101417784779E-3</v>
      </c>
      <c r="AH155" s="189">
        <f>town_establishments[[#This Row],[share of state establishments (no residual)]]/(INDEX(regional_establishments[share of state establishments],MATCH(town_establishments[[#This Row],[Regional Planning Commission]],regional_establishments[Regional Planning Commission],0)))</f>
        <v>2.0924149956408015E-2</v>
      </c>
    </row>
    <row r="156" spans="1:34" x14ac:dyDescent="0.25">
      <c r="A156" t="s">
        <v>371</v>
      </c>
      <c r="B156" t="str">
        <f>INDEX(town_population[Regional Planning Commission],MATCH(town_establishments[[#This Row],[Municipality]],town_population[Municipality],0))</f>
        <v>Rutland Regional Planning Commission</v>
      </c>
      <c r="D156">
        <v>4</v>
      </c>
      <c r="E156">
        <v>1</v>
      </c>
      <c r="F156">
        <v>1</v>
      </c>
      <c r="H156">
        <v>1</v>
      </c>
      <c r="I156">
        <v>3</v>
      </c>
      <c r="J156">
        <v>2</v>
      </c>
      <c r="K156">
        <v>1</v>
      </c>
      <c r="L156">
        <v>1</v>
      </c>
      <c r="N156">
        <v>1</v>
      </c>
      <c r="O156">
        <v>1</v>
      </c>
      <c r="P156">
        <v>3</v>
      </c>
      <c r="Q156">
        <f t="shared" si="34"/>
        <v>19</v>
      </c>
      <c r="R156" s="189">
        <f t="shared" si="35"/>
        <v>0</v>
      </c>
      <c r="S156" s="189">
        <f t="shared" si="37"/>
        <v>0.21052631578947367</v>
      </c>
      <c r="T156" s="189">
        <f t="shared" si="38"/>
        <v>5.2631578947368418E-2</v>
      </c>
      <c r="U156" s="189">
        <f t="shared" si="39"/>
        <v>5.2631578947368418E-2</v>
      </c>
      <c r="V156" s="189">
        <f t="shared" si="40"/>
        <v>0</v>
      </c>
      <c r="W156" s="189">
        <f t="shared" si="41"/>
        <v>5.2631578947368418E-2</v>
      </c>
      <c r="X156" s="189">
        <f t="shared" si="42"/>
        <v>0.15789473684210525</v>
      </c>
      <c r="Y156" s="189">
        <f t="shared" si="43"/>
        <v>0.10526315789473684</v>
      </c>
      <c r="Z156" s="189">
        <f t="shared" si="44"/>
        <v>5.2631578947368418E-2</v>
      </c>
      <c r="AA156" s="189">
        <f t="shared" si="45"/>
        <v>5.2631578947368418E-2</v>
      </c>
      <c r="AB156" s="189">
        <f t="shared" si="46"/>
        <v>0</v>
      </c>
      <c r="AC156" s="189">
        <f t="shared" si="47"/>
        <v>5.2631578947368418E-2</v>
      </c>
      <c r="AD156" s="189">
        <f t="shared" si="48"/>
        <v>5.2631578947368418E-2</v>
      </c>
      <c r="AE156" s="189">
        <f t="shared" si="49"/>
        <v>0.15789473684210525</v>
      </c>
      <c r="AF156" s="189">
        <f t="shared" si="36"/>
        <v>9.9779434933305335E-4</v>
      </c>
      <c r="AG156" s="189">
        <f>town_establishments[[#This Row],[share of state establishments]]/($AF$250-$AF$249)</f>
        <v>1.0321038622412952E-3</v>
      </c>
      <c r="AH156" s="189">
        <f>town_establishments[[#This Row],[share of state establishments (no residual)]]/(INDEX(regional_establishments[share of state establishments],MATCH(town_establishments[[#This Row],[Regional Planning Commission]],regional_establishments[Regional Planning Commission],0)))</f>
        <v>1.0686164229471317E-2</v>
      </c>
    </row>
    <row r="157" spans="1:34" x14ac:dyDescent="0.25">
      <c r="A157" t="s">
        <v>372</v>
      </c>
      <c r="B157" t="str">
        <f>INDEX(town_population[Regional Planning Commission],MATCH(town_establishments[[#This Row],[Municipality]],town_population[Municipality],0))</f>
        <v>Windham Regional Commission</v>
      </c>
      <c r="C157">
        <v>6</v>
      </c>
      <c r="D157">
        <v>8</v>
      </c>
      <c r="E157">
        <v>2</v>
      </c>
      <c r="F157">
        <v>2</v>
      </c>
      <c r="G157">
        <v>2</v>
      </c>
      <c r="I157">
        <v>14</v>
      </c>
      <c r="K157">
        <v>8</v>
      </c>
      <c r="L157">
        <v>7</v>
      </c>
      <c r="M157">
        <v>3</v>
      </c>
      <c r="N157">
        <v>2</v>
      </c>
      <c r="O157">
        <v>8</v>
      </c>
      <c r="P157">
        <v>11</v>
      </c>
      <c r="Q157">
        <f t="shared" si="34"/>
        <v>73</v>
      </c>
      <c r="R157" s="189">
        <f t="shared" si="35"/>
        <v>8.2191780821917804E-2</v>
      </c>
      <c r="S157" s="189">
        <f t="shared" si="37"/>
        <v>0.1095890410958904</v>
      </c>
      <c r="T157" s="189">
        <f t="shared" si="38"/>
        <v>2.7397260273972601E-2</v>
      </c>
      <c r="U157" s="189">
        <f t="shared" si="39"/>
        <v>2.7397260273972601E-2</v>
      </c>
      <c r="V157" s="189">
        <f t="shared" si="40"/>
        <v>2.7397260273972601E-2</v>
      </c>
      <c r="W157" s="189">
        <f t="shared" si="41"/>
        <v>0</v>
      </c>
      <c r="X157" s="189">
        <f t="shared" si="42"/>
        <v>0.19178082191780821</v>
      </c>
      <c r="Y157" s="189">
        <f t="shared" si="43"/>
        <v>0</v>
      </c>
      <c r="Z157" s="189">
        <f t="shared" si="44"/>
        <v>0.1095890410958904</v>
      </c>
      <c r="AA157" s="189">
        <f t="shared" si="45"/>
        <v>9.5890410958904104E-2</v>
      </c>
      <c r="AB157" s="189">
        <f t="shared" si="46"/>
        <v>4.1095890410958902E-2</v>
      </c>
      <c r="AC157" s="189">
        <f t="shared" si="47"/>
        <v>2.7397260273972601E-2</v>
      </c>
      <c r="AD157" s="189">
        <f t="shared" si="48"/>
        <v>0.1095890410958904</v>
      </c>
      <c r="AE157" s="189">
        <f t="shared" si="49"/>
        <v>0.15068493150684931</v>
      </c>
      <c r="AF157" s="189">
        <f t="shared" si="36"/>
        <v>3.8336309211217307E-3</v>
      </c>
      <c r="AG157" s="189">
        <f>town_establishments[[#This Row],[share of state establishments]]/($AF$250-$AF$249)</f>
        <v>3.9654516812428703E-3</v>
      </c>
      <c r="AH157" s="189">
        <f>town_establishments[[#This Row],[share of state establishments (no residual)]]/(INDEX(regional_establishments[share of state establishments],MATCH(town_establishments[[#This Row],[Regional Planning Commission]],regional_establishments[Regional Planning Commission],0)))</f>
        <v>4.7005795235028978E-2</v>
      </c>
    </row>
    <row r="158" spans="1:34" x14ac:dyDescent="0.25">
      <c r="A158" t="s">
        <v>373</v>
      </c>
      <c r="B158" t="str">
        <f>INDEX(town_population[Regional Planning Commission],MATCH(town_establishments[[#This Row],[Municipality]],town_population[Municipality],0))</f>
        <v>Two Rivers-Ottauquechee Regional Commission</v>
      </c>
      <c r="C158">
        <v>13</v>
      </c>
      <c r="D158">
        <v>31</v>
      </c>
      <c r="E158">
        <v>3</v>
      </c>
      <c r="F158">
        <v>5</v>
      </c>
      <c r="G158">
        <v>6</v>
      </c>
      <c r="H158">
        <v>8</v>
      </c>
      <c r="I158">
        <v>25</v>
      </c>
      <c r="K158">
        <v>5</v>
      </c>
      <c r="L158">
        <v>1</v>
      </c>
      <c r="M158">
        <v>23</v>
      </c>
      <c r="N158">
        <v>5</v>
      </c>
      <c r="O158">
        <v>15</v>
      </c>
      <c r="P158">
        <v>20</v>
      </c>
      <c r="Q158">
        <f t="shared" si="34"/>
        <v>160</v>
      </c>
      <c r="R158" s="189">
        <f t="shared" si="35"/>
        <v>8.1250000000000003E-2</v>
      </c>
      <c r="S158" s="189">
        <f t="shared" si="37"/>
        <v>0.19375000000000001</v>
      </c>
      <c r="T158" s="189">
        <f t="shared" si="38"/>
        <v>1.8749999999999999E-2</v>
      </c>
      <c r="U158" s="189">
        <f t="shared" si="39"/>
        <v>3.125E-2</v>
      </c>
      <c r="V158" s="189">
        <f t="shared" si="40"/>
        <v>3.7499999999999999E-2</v>
      </c>
      <c r="W158" s="189">
        <f t="shared" si="41"/>
        <v>0.05</v>
      </c>
      <c r="X158" s="189">
        <f t="shared" si="42"/>
        <v>0.15625</v>
      </c>
      <c r="Y158" s="189">
        <f t="shared" si="43"/>
        <v>0</v>
      </c>
      <c r="Z158" s="189">
        <f t="shared" si="44"/>
        <v>3.125E-2</v>
      </c>
      <c r="AA158" s="189">
        <f t="shared" si="45"/>
        <v>6.2500000000000003E-3</v>
      </c>
      <c r="AB158" s="189">
        <f t="shared" si="46"/>
        <v>0.14374999999999999</v>
      </c>
      <c r="AC158" s="189">
        <f t="shared" si="47"/>
        <v>3.125E-2</v>
      </c>
      <c r="AD158" s="189">
        <f t="shared" si="48"/>
        <v>9.375E-2</v>
      </c>
      <c r="AE158" s="189">
        <f t="shared" si="49"/>
        <v>0.125</v>
      </c>
      <c r="AF158" s="189">
        <f t="shared" si="36"/>
        <v>8.4024787312257116E-3</v>
      </c>
      <c r="AG158" s="189">
        <f>town_establishments[[#This Row],[share of state establishments]]/($AF$250-$AF$249)</f>
        <v>8.6914009451898519E-3</v>
      </c>
      <c r="AH158" s="189">
        <f>town_establishments[[#This Row],[share of state establishments (no residual)]]/(INDEX(regional_establishments[share of state establishments],MATCH(town_establishments[[#This Row],[Regional Planning Commission]],regional_establishments[Regional Planning Commission],0)))</f>
        <v>9.876543209876544E-2</v>
      </c>
    </row>
    <row r="159" spans="1:34" x14ac:dyDescent="0.25">
      <c r="A159" t="s">
        <v>374</v>
      </c>
      <c r="B159" t="str">
        <f>INDEX(town_population[Regional Planning Commission],MATCH(town_establishments[[#This Row],[Municipality]],town_population[Municipality],0))</f>
        <v>Southern Windsor County Regional Planning Commission</v>
      </c>
      <c r="E159">
        <v>1</v>
      </c>
      <c r="I159">
        <v>1</v>
      </c>
      <c r="K159">
        <v>1</v>
      </c>
      <c r="L159">
        <v>1</v>
      </c>
      <c r="N159">
        <v>1</v>
      </c>
      <c r="O159">
        <v>2</v>
      </c>
      <c r="P159">
        <v>1</v>
      </c>
      <c r="Q159">
        <f t="shared" si="34"/>
        <v>8</v>
      </c>
      <c r="R159" s="189">
        <f t="shared" si="35"/>
        <v>0</v>
      </c>
      <c r="S159" s="189">
        <f t="shared" si="37"/>
        <v>0</v>
      </c>
      <c r="T159" s="189">
        <f t="shared" si="38"/>
        <v>0.125</v>
      </c>
      <c r="U159" s="189">
        <f t="shared" si="39"/>
        <v>0</v>
      </c>
      <c r="V159" s="189">
        <f t="shared" si="40"/>
        <v>0</v>
      </c>
      <c r="W159" s="189">
        <f t="shared" si="41"/>
        <v>0</v>
      </c>
      <c r="X159" s="189">
        <f t="shared" si="42"/>
        <v>0.125</v>
      </c>
      <c r="Y159" s="189">
        <f t="shared" si="43"/>
        <v>0</v>
      </c>
      <c r="Z159" s="189">
        <f t="shared" si="44"/>
        <v>0.125</v>
      </c>
      <c r="AA159" s="189">
        <f t="shared" si="45"/>
        <v>0.125</v>
      </c>
      <c r="AB159" s="189">
        <f t="shared" si="46"/>
        <v>0</v>
      </c>
      <c r="AC159" s="189">
        <f t="shared" si="47"/>
        <v>0.125</v>
      </c>
      <c r="AD159" s="189">
        <f t="shared" si="48"/>
        <v>0.25</v>
      </c>
      <c r="AE159" s="189">
        <f t="shared" si="49"/>
        <v>0.125</v>
      </c>
      <c r="AF159" s="189">
        <f t="shared" si="36"/>
        <v>4.2012393656128556E-4</v>
      </c>
      <c r="AG159" s="189">
        <f>town_establishments[[#This Row],[share of state establishments]]/($AF$250-$AF$249)</f>
        <v>4.3457004725949261E-4</v>
      </c>
      <c r="AH159" s="189">
        <f>town_establishments[[#This Row],[share of state establishments (no residual)]]/(INDEX(regional_establishments[share of state establishments],MATCH(town_establishments[[#This Row],[Regional Planning Commission]],regional_establishments[Regional Planning Commission],0)))</f>
        <v>1.26984126984127E-2</v>
      </c>
    </row>
    <row r="160" spans="1:34" x14ac:dyDescent="0.25">
      <c r="A160" t="s">
        <v>375</v>
      </c>
      <c r="B160" t="str">
        <f>INDEX(town_population[Regional Planning Commission],MATCH(town_establishments[[#This Row],[Municipality]],town_population[Municipality],0))</f>
        <v>Windham Regional Commission</v>
      </c>
      <c r="D160">
        <v>1</v>
      </c>
      <c r="E160">
        <v>1</v>
      </c>
      <c r="H160">
        <v>1</v>
      </c>
      <c r="I160">
        <v>3</v>
      </c>
      <c r="J160">
        <v>1</v>
      </c>
      <c r="K160">
        <v>2</v>
      </c>
      <c r="L160">
        <v>1</v>
      </c>
      <c r="M160">
        <v>1</v>
      </c>
      <c r="O160">
        <v>1</v>
      </c>
      <c r="P160">
        <v>3</v>
      </c>
      <c r="Q160">
        <f t="shared" si="34"/>
        <v>15</v>
      </c>
      <c r="R160" s="189">
        <f t="shared" si="35"/>
        <v>0</v>
      </c>
      <c r="S160" s="189">
        <f t="shared" si="37"/>
        <v>6.6666666666666666E-2</v>
      </c>
      <c r="T160" s="189">
        <f t="shared" si="38"/>
        <v>6.6666666666666666E-2</v>
      </c>
      <c r="U160" s="189">
        <f t="shared" si="39"/>
        <v>0</v>
      </c>
      <c r="V160" s="189">
        <f t="shared" si="40"/>
        <v>0</v>
      </c>
      <c r="W160" s="189">
        <f t="shared" si="41"/>
        <v>6.6666666666666666E-2</v>
      </c>
      <c r="X160" s="189">
        <f t="shared" si="42"/>
        <v>0.2</v>
      </c>
      <c r="Y160" s="189">
        <f t="shared" si="43"/>
        <v>6.6666666666666666E-2</v>
      </c>
      <c r="Z160" s="189">
        <f t="shared" si="44"/>
        <v>0.13333333333333333</v>
      </c>
      <c r="AA160" s="189">
        <f t="shared" si="45"/>
        <v>6.6666666666666666E-2</v>
      </c>
      <c r="AB160" s="189">
        <f t="shared" si="46"/>
        <v>6.6666666666666666E-2</v>
      </c>
      <c r="AC160" s="189">
        <f t="shared" si="47"/>
        <v>0</v>
      </c>
      <c r="AD160" s="189">
        <f t="shared" si="48"/>
        <v>6.6666666666666666E-2</v>
      </c>
      <c r="AE160" s="189">
        <f t="shared" si="49"/>
        <v>0.2</v>
      </c>
      <c r="AF160" s="189">
        <f t="shared" si="36"/>
        <v>7.8773238105241041E-4</v>
      </c>
      <c r="AG160" s="189">
        <f>town_establishments[[#This Row],[share of state establishments]]/($AF$250-$AF$249)</f>
        <v>8.1481883861154862E-4</v>
      </c>
      <c r="AH160" s="189">
        <f>town_establishments[[#This Row],[share of state establishments (no residual)]]/(INDEX(regional_establishments[share of state establishments],MATCH(town_establishments[[#This Row],[Regional Planning Commission]],regional_establishments[Regional Planning Commission],0)))</f>
        <v>9.6587250482936243E-3</v>
      </c>
    </row>
    <row r="161" spans="1:34" x14ac:dyDescent="0.25">
      <c r="A161" t="s">
        <v>376</v>
      </c>
      <c r="B161" t="str">
        <f>INDEX(town_population[Regional Planning Commission],MATCH(town_establishments[[#This Row],[Municipality]],town_population[Municipality],0))</f>
        <v>Northwest Regional Planning Commission</v>
      </c>
      <c r="D161">
        <v>6</v>
      </c>
      <c r="E161">
        <v>2</v>
      </c>
      <c r="F161">
        <v>1</v>
      </c>
      <c r="G161">
        <v>2</v>
      </c>
      <c r="H161">
        <v>1</v>
      </c>
      <c r="I161">
        <v>1</v>
      </c>
      <c r="K161">
        <v>2</v>
      </c>
      <c r="L161">
        <v>2</v>
      </c>
      <c r="M161">
        <v>3</v>
      </c>
      <c r="N161">
        <v>1</v>
      </c>
      <c r="O161">
        <v>2</v>
      </c>
      <c r="P161">
        <v>2</v>
      </c>
      <c r="Q161">
        <f t="shared" si="34"/>
        <v>25</v>
      </c>
      <c r="R161" s="189">
        <f t="shared" si="35"/>
        <v>0</v>
      </c>
      <c r="S161" s="189">
        <f t="shared" si="37"/>
        <v>0.24</v>
      </c>
      <c r="T161" s="189">
        <f t="shared" si="38"/>
        <v>0.08</v>
      </c>
      <c r="U161" s="189">
        <f t="shared" si="39"/>
        <v>0.04</v>
      </c>
      <c r="V161" s="189">
        <f t="shared" si="40"/>
        <v>0.08</v>
      </c>
      <c r="W161" s="189">
        <f t="shared" si="41"/>
        <v>0.04</v>
      </c>
      <c r="X161" s="189">
        <f t="shared" si="42"/>
        <v>0.04</v>
      </c>
      <c r="Y161" s="189">
        <f t="shared" si="43"/>
        <v>0</v>
      </c>
      <c r="Z161" s="189">
        <f t="shared" si="44"/>
        <v>0.08</v>
      </c>
      <c r="AA161" s="189">
        <f t="shared" si="45"/>
        <v>0.08</v>
      </c>
      <c r="AB161" s="189">
        <f t="shared" si="46"/>
        <v>0.12</v>
      </c>
      <c r="AC161" s="189">
        <f t="shared" si="47"/>
        <v>0.04</v>
      </c>
      <c r="AD161" s="189">
        <f t="shared" si="48"/>
        <v>0.08</v>
      </c>
      <c r="AE161" s="189">
        <f t="shared" si="49"/>
        <v>0.08</v>
      </c>
      <c r="AF161" s="189">
        <f t="shared" si="36"/>
        <v>1.3128873017540174E-3</v>
      </c>
      <c r="AG161" s="189">
        <f>town_establishments[[#This Row],[share of state establishments]]/($AF$250-$AF$249)</f>
        <v>1.3580313976859144E-3</v>
      </c>
      <c r="AH161" s="189">
        <f>town_establishments[[#This Row],[share of state establishments (no residual)]]/(INDEX(regional_establishments[share of state establishments],MATCH(town_establishments[[#This Row],[Regional Planning Commission]],regional_establishments[Regional Planning Commission],0)))</f>
        <v>2.446183953033268E-2</v>
      </c>
    </row>
    <row r="162" spans="1:34" x14ac:dyDescent="0.25">
      <c r="A162" t="s">
        <v>377</v>
      </c>
      <c r="B162" t="str">
        <f>INDEX(town_population[Regional Planning Commission],MATCH(town_establishments[[#This Row],[Municipality]],town_population[Municipality],0))</f>
        <v>Chittenden County Regional Planning Commission</v>
      </c>
      <c r="C162">
        <v>8</v>
      </c>
      <c r="D162">
        <v>12</v>
      </c>
      <c r="E162">
        <v>3</v>
      </c>
      <c r="F162">
        <v>4</v>
      </c>
      <c r="G162">
        <v>6</v>
      </c>
      <c r="H162">
        <v>5</v>
      </c>
      <c r="I162">
        <v>30</v>
      </c>
      <c r="J162">
        <v>1</v>
      </c>
      <c r="K162">
        <v>14</v>
      </c>
      <c r="L162">
        <v>5</v>
      </c>
      <c r="M162">
        <v>13</v>
      </c>
      <c r="N162">
        <v>3</v>
      </c>
      <c r="O162">
        <v>6</v>
      </c>
      <c r="P162">
        <v>16</v>
      </c>
      <c r="Q162">
        <f t="shared" si="34"/>
        <v>126</v>
      </c>
      <c r="R162" s="189">
        <f t="shared" si="35"/>
        <v>6.3492063492063489E-2</v>
      </c>
      <c r="S162" s="189">
        <f t="shared" si="37"/>
        <v>9.5238095238095233E-2</v>
      </c>
      <c r="T162" s="189">
        <f t="shared" si="38"/>
        <v>2.3809523809523808E-2</v>
      </c>
      <c r="U162" s="189">
        <f t="shared" si="39"/>
        <v>3.1746031746031744E-2</v>
      </c>
      <c r="V162" s="189">
        <f t="shared" si="40"/>
        <v>4.7619047619047616E-2</v>
      </c>
      <c r="W162" s="189">
        <f t="shared" si="41"/>
        <v>3.968253968253968E-2</v>
      </c>
      <c r="X162" s="189">
        <f t="shared" si="42"/>
        <v>0.23809523809523808</v>
      </c>
      <c r="Y162" s="189">
        <f t="shared" si="43"/>
        <v>7.9365079365079361E-3</v>
      </c>
      <c r="Z162" s="189">
        <f t="shared" si="44"/>
        <v>0.1111111111111111</v>
      </c>
      <c r="AA162" s="189">
        <f t="shared" si="45"/>
        <v>3.968253968253968E-2</v>
      </c>
      <c r="AB162" s="189">
        <f t="shared" si="46"/>
        <v>0.10317460317460317</v>
      </c>
      <c r="AC162" s="189">
        <f t="shared" si="47"/>
        <v>2.3809523809523808E-2</v>
      </c>
      <c r="AD162" s="189">
        <f t="shared" si="48"/>
        <v>4.7619047619047616E-2</v>
      </c>
      <c r="AE162" s="189">
        <f t="shared" si="49"/>
        <v>0.12698412698412698</v>
      </c>
      <c r="AF162" s="189">
        <f t="shared" si="36"/>
        <v>6.6169520008402477E-3</v>
      </c>
      <c r="AG162" s="189">
        <f>town_establishments[[#This Row],[share of state establishments]]/($AF$250-$AF$249)</f>
        <v>6.8444782443370092E-3</v>
      </c>
      <c r="AH162" s="189">
        <f>town_establishments[[#This Row],[share of state establishments (no residual)]]/(INDEX(regional_establishments[share of state establishments],MATCH(town_establishments[[#This Row],[Regional Planning Commission]],regional_establishments[Regional Planning Commission],0)))</f>
        <v>2.325152242111091E-2</v>
      </c>
    </row>
    <row r="163" spans="1:34" x14ac:dyDescent="0.25">
      <c r="A163" t="s">
        <v>378</v>
      </c>
      <c r="B163" t="str">
        <f>INDEX(town_population[Regional Planning Commission],MATCH(town_establishments[[#This Row],[Municipality]],town_population[Municipality],0))</f>
        <v>Addison County Regional Planning Commission</v>
      </c>
      <c r="C163">
        <v>1</v>
      </c>
      <c r="D163">
        <v>1</v>
      </c>
      <c r="K163">
        <v>1</v>
      </c>
      <c r="L163">
        <v>2</v>
      </c>
      <c r="M163">
        <v>2</v>
      </c>
      <c r="O163">
        <v>1</v>
      </c>
      <c r="P163">
        <v>4</v>
      </c>
      <c r="Q163">
        <f t="shared" si="34"/>
        <v>12</v>
      </c>
      <c r="R163" s="189">
        <f t="shared" si="35"/>
        <v>8.3333333333333329E-2</v>
      </c>
      <c r="S163" s="189">
        <f t="shared" si="37"/>
        <v>8.3333333333333329E-2</v>
      </c>
      <c r="T163" s="189">
        <f t="shared" si="38"/>
        <v>0</v>
      </c>
      <c r="U163" s="189">
        <f t="shared" si="39"/>
        <v>0</v>
      </c>
      <c r="V163" s="189">
        <f t="shared" si="40"/>
        <v>0</v>
      </c>
      <c r="W163" s="189">
        <f t="shared" si="41"/>
        <v>0</v>
      </c>
      <c r="X163" s="189">
        <f t="shared" si="42"/>
        <v>0</v>
      </c>
      <c r="Y163" s="189">
        <f t="shared" si="43"/>
        <v>0</v>
      </c>
      <c r="Z163" s="189">
        <f t="shared" si="44"/>
        <v>8.3333333333333329E-2</v>
      </c>
      <c r="AA163" s="189">
        <f t="shared" si="45"/>
        <v>0.16666666666666666</v>
      </c>
      <c r="AB163" s="189">
        <f t="shared" si="46"/>
        <v>0.16666666666666666</v>
      </c>
      <c r="AC163" s="189">
        <f t="shared" si="47"/>
        <v>0</v>
      </c>
      <c r="AD163" s="189">
        <f t="shared" si="48"/>
        <v>8.3333333333333329E-2</v>
      </c>
      <c r="AE163" s="189">
        <f t="shared" si="49"/>
        <v>0.33333333333333331</v>
      </c>
      <c r="AF163" s="189">
        <f t="shared" si="36"/>
        <v>6.3018590484192839E-4</v>
      </c>
      <c r="AG163" s="189">
        <f>town_establishments[[#This Row],[share of state establishments]]/($AF$250-$AF$249)</f>
        <v>6.5185507088923894E-4</v>
      </c>
      <c r="AH163" s="189">
        <f>town_establishments[[#This Row],[share of state establishments (no residual)]]/(INDEX(regional_establishments[share of state establishments],MATCH(town_establishments[[#This Row],[Regional Planning Commission]],regional_establishments[Regional Planning Commission],0)))</f>
        <v>1.2820512820512822E-2</v>
      </c>
    </row>
    <row r="164" spans="1:34" x14ac:dyDescent="0.25">
      <c r="A164" t="s">
        <v>379</v>
      </c>
      <c r="B164" t="str">
        <f>INDEX(town_population[Regional Planning Commission],MATCH(town_establishments[[#This Row],[Municipality]],town_population[Municipality],0))</f>
        <v>Two Rivers-Ottauquechee Regional Commission</v>
      </c>
      <c r="C164">
        <v>1</v>
      </c>
      <c r="D164">
        <v>5</v>
      </c>
      <c r="E164">
        <v>1</v>
      </c>
      <c r="F164">
        <v>2</v>
      </c>
      <c r="G164">
        <v>2</v>
      </c>
      <c r="H164">
        <v>1</v>
      </c>
      <c r="I164">
        <v>7</v>
      </c>
      <c r="K164">
        <v>1</v>
      </c>
      <c r="L164">
        <v>1</v>
      </c>
      <c r="M164">
        <v>3</v>
      </c>
      <c r="N164">
        <v>1</v>
      </c>
      <c r="O164">
        <v>6</v>
      </c>
      <c r="P164">
        <v>3</v>
      </c>
      <c r="Q164">
        <f t="shared" si="34"/>
        <v>34</v>
      </c>
      <c r="R164" s="189">
        <f t="shared" si="35"/>
        <v>2.9411764705882353E-2</v>
      </c>
      <c r="S164" s="189">
        <f t="shared" si="37"/>
        <v>0.14705882352941177</v>
      </c>
      <c r="T164" s="189">
        <f t="shared" si="38"/>
        <v>2.9411764705882353E-2</v>
      </c>
      <c r="U164" s="189">
        <f t="shared" si="39"/>
        <v>5.8823529411764705E-2</v>
      </c>
      <c r="V164" s="189">
        <f t="shared" si="40"/>
        <v>5.8823529411764705E-2</v>
      </c>
      <c r="W164" s="189">
        <f t="shared" si="41"/>
        <v>2.9411764705882353E-2</v>
      </c>
      <c r="X164" s="189">
        <f t="shared" si="42"/>
        <v>0.20588235294117646</v>
      </c>
      <c r="Y164" s="189">
        <f t="shared" si="43"/>
        <v>0</v>
      </c>
      <c r="Z164" s="189">
        <f t="shared" si="44"/>
        <v>2.9411764705882353E-2</v>
      </c>
      <c r="AA164" s="189">
        <f t="shared" si="45"/>
        <v>2.9411764705882353E-2</v>
      </c>
      <c r="AB164" s="189">
        <f t="shared" si="46"/>
        <v>8.8235294117647065E-2</v>
      </c>
      <c r="AC164" s="189">
        <f t="shared" si="47"/>
        <v>2.9411764705882353E-2</v>
      </c>
      <c r="AD164" s="189">
        <f t="shared" si="48"/>
        <v>0.17647058823529413</v>
      </c>
      <c r="AE164" s="189">
        <f t="shared" si="49"/>
        <v>8.8235294117647065E-2</v>
      </c>
      <c r="AF164" s="189">
        <f t="shared" si="36"/>
        <v>1.7855267303854637E-3</v>
      </c>
      <c r="AG164" s="189">
        <f>town_establishments[[#This Row],[share of state establishments]]/($AF$250-$AF$249)</f>
        <v>1.8469227008528436E-3</v>
      </c>
      <c r="AH164" s="189">
        <f>town_establishments[[#This Row],[share of state establishments (no residual)]]/(INDEX(regional_establishments[share of state establishments],MATCH(town_establishments[[#This Row],[Regional Planning Commission]],regional_establishments[Regional Planning Commission],0)))</f>
        <v>2.0987654320987655E-2</v>
      </c>
    </row>
    <row r="165" spans="1:34" x14ac:dyDescent="0.25">
      <c r="A165" t="s">
        <v>380</v>
      </c>
      <c r="B165" t="str">
        <f>INDEX(town_population[Regional Planning Commission],MATCH(town_establishments[[#This Row],[Municipality]],town_population[Municipality],0))</f>
        <v>Windham Regional Commission</v>
      </c>
      <c r="C165">
        <v>5</v>
      </c>
      <c r="D165">
        <v>32</v>
      </c>
      <c r="E165">
        <v>8</v>
      </c>
      <c r="F165">
        <v>6</v>
      </c>
      <c r="G165">
        <v>4</v>
      </c>
      <c r="H165">
        <v>3</v>
      </c>
      <c r="I165">
        <v>15</v>
      </c>
      <c r="K165">
        <v>10</v>
      </c>
      <c r="L165">
        <v>3</v>
      </c>
      <c r="M165">
        <v>20</v>
      </c>
      <c r="N165">
        <v>6</v>
      </c>
      <c r="O165">
        <v>20</v>
      </c>
      <c r="P165">
        <v>17</v>
      </c>
      <c r="Q165">
        <f t="shared" si="34"/>
        <v>149</v>
      </c>
      <c r="R165" s="189">
        <f t="shared" si="35"/>
        <v>3.3557046979865772E-2</v>
      </c>
      <c r="S165" s="189">
        <f t="shared" si="37"/>
        <v>0.21476510067114093</v>
      </c>
      <c r="T165" s="189">
        <f t="shared" si="38"/>
        <v>5.3691275167785234E-2</v>
      </c>
      <c r="U165" s="189">
        <f t="shared" si="39"/>
        <v>4.0268456375838924E-2</v>
      </c>
      <c r="V165" s="189">
        <f t="shared" si="40"/>
        <v>2.6845637583892617E-2</v>
      </c>
      <c r="W165" s="189">
        <f t="shared" si="41"/>
        <v>2.0134228187919462E-2</v>
      </c>
      <c r="X165" s="189">
        <f t="shared" si="42"/>
        <v>0.10067114093959731</v>
      </c>
      <c r="Y165" s="189">
        <f t="shared" si="43"/>
        <v>0</v>
      </c>
      <c r="Z165" s="189">
        <f t="shared" si="44"/>
        <v>6.7114093959731544E-2</v>
      </c>
      <c r="AA165" s="189">
        <f t="shared" si="45"/>
        <v>2.0134228187919462E-2</v>
      </c>
      <c r="AB165" s="189">
        <f t="shared" si="46"/>
        <v>0.13422818791946309</v>
      </c>
      <c r="AC165" s="189">
        <f t="shared" si="47"/>
        <v>4.0268456375838924E-2</v>
      </c>
      <c r="AD165" s="189">
        <f t="shared" si="48"/>
        <v>0.13422818791946309</v>
      </c>
      <c r="AE165" s="189">
        <f t="shared" si="49"/>
        <v>0.11409395973154363</v>
      </c>
      <c r="AF165" s="189">
        <f t="shared" si="36"/>
        <v>7.8248083184539446E-3</v>
      </c>
      <c r="AG165" s="189">
        <f>town_establishments[[#This Row],[share of state establishments]]/($AF$250-$AF$249)</f>
        <v>8.0938671302080503E-3</v>
      </c>
      <c r="AH165" s="189">
        <f>town_establishments[[#This Row],[share of state establishments (no residual)]]/(INDEX(regional_establishments[share of state establishments],MATCH(town_establishments[[#This Row],[Regional Planning Commission]],regional_establishments[Regional Planning Commission],0)))</f>
        <v>9.5943335479716674E-2</v>
      </c>
    </row>
    <row r="166" spans="1:34" x14ac:dyDescent="0.25">
      <c r="A166" t="s">
        <v>381</v>
      </c>
      <c r="B166" t="str">
        <f>INDEX(town_population[Regional Planning Commission],MATCH(town_establishments[[#This Row],[Municipality]],town_population[Municipality],0))</f>
        <v>Central Vermont Regional Planning Commission</v>
      </c>
      <c r="C166">
        <v>1</v>
      </c>
      <c r="D166">
        <v>1</v>
      </c>
      <c r="E166">
        <v>1</v>
      </c>
      <c r="I166">
        <v>1</v>
      </c>
      <c r="K166">
        <v>1</v>
      </c>
      <c r="L166">
        <v>1</v>
      </c>
      <c r="M166">
        <v>0</v>
      </c>
      <c r="P166">
        <v>3</v>
      </c>
      <c r="Q166">
        <f t="shared" si="34"/>
        <v>9</v>
      </c>
      <c r="R166" s="189">
        <f t="shared" si="35"/>
        <v>0.1111111111111111</v>
      </c>
      <c r="S166" s="189">
        <f t="shared" si="37"/>
        <v>0.1111111111111111</v>
      </c>
      <c r="T166" s="189">
        <f t="shared" si="38"/>
        <v>0.1111111111111111</v>
      </c>
      <c r="U166" s="189">
        <f t="shared" si="39"/>
        <v>0</v>
      </c>
      <c r="V166" s="189">
        <f t="shared" si="40"/>
        <v>0</v>
      </c>
      <c r="W166" s="189">
        <f t="shared" si="41"/>
        <v>0</v>
      </c>
      <c r="X166" s="189">
        <f t="shared" si="42"/>
        <v>0.1111111111111111</v>
      </c>
      <c r="Y166" s="189">
        <f t="shared" si="43"/>
        <v>0</v>
      </c>
      <c r="Z166" s="189">
        <f t="shared" si="44"/>
        <v>0.1111111111111111</v>
      </c>
      <c r="AA166" s="189">
        <f t="shared" si="45"/>
        <v>0.1111111111111111</v>
      </c>
      <c r="AB166" s="189">
        <f t="shared" si="46"/>
        <v>0</v>
      </c>
      <c r="AC166" s="189">
        <f t="shared" si="47"/>
        <v>0</v>
      </c>
      <c r="AD166" s="189">
        <f t="shared" si="48"/>
        <v>0</v>
      </c>
      <c r="AE166" s="189">
        <f t="shared" si="49"/>
        <v>0.33333333333333331</v>
      </c>
      <c r="AF166" s="189">
        <f t="shared" si="36"/>
        <v>4.7263942863144627E-4</v>
      </c>
      <c r="AG166" s="189">
        <f>town_establishments[[#This Row],[share of state establishments]]/($AF$250-$AF$249)</f>
        <v>4.8889130316692926E-4</v>
      </c>
      <c r="AH166" s="189">
        <f>town_establishments[[#This Row],[share of state establishments (no residual)]]/(INDEX(regional_establishments[share of state establishments],MATCH(town_establishments[[#This Row],[Regional Planning Commission]],regional_establishments[Regional Planning Commission],0)))</f>
        <v>4.4356826022671266E-3</v>
      </c>
    </row>
    <row r="167" spans="1:34" x14ac:dyDescent="0.25">
      <c r="A167" t="s">
        <v>382</v>
      </c>
      <c r="B167" t="str">
        <f>INDEX(town_population[Regional Planning Commission],MATCH(town_establishments[[#This Row],[Municipality]],town_population[Municipality],0))</f>
        <v>Two Rivers-Ottauquechee Regional Commission</v>
      </c>
      <c r="C167">
        <v>5</v>
      </c>
      <c r="D167">
        <v>8</v>
      </c>
      <c r="E167">
        <v>2</v>
      </c>
      <c r="F167">
        <v>2</v>
      </c>
      <c r="H167">
        <v>5</v>
      </c>
      <c r="I167">
        <v>8</v>
      </c>
      <c r="K167">
        <v>7</v>
      </c>
      <c r="L167">
        <v>1</v>
      </c>
      <c r="M167">
        <v>5</v>
      </c>
      <c r="N167">
        <v>1</v>
      </c>
      <c r="O167">
        <v>8</v>
      </c>
      <c r="P167">
        <v>5</v>
      </c>
      <c r="Q167">
        <f t="shared" si="34"/>
        <v>57</v>
      </c>
      <c r="R167" s="189">
        <f t="shared" si="35"/>
        <v>8.771929824561403E-2</v>
      </c>
      <c r="S167" s="189">
        <f t="shared" si="37"/>
        <v>0.14035087719298245</v>
      </c>
      <c r="T167" s="189">
        <f t="shared" si="38"/>
        <v>3.5087719298245612E-2</v>
      </c>
      <c r="U167" s="189">
        <f t="shared" si="39"/>
        <v>3.5087719298245612E-2</v>
      </c>
      <c r="V167" s="189">
        <f t="shared" si="40"/>
        <v>0</v>
      </c>
      <c r="W167" s="189">
        <f t="shared" si="41"/>
        <v>8.771929824561403E-2</v>
      </c>
      <c r="X167" s="189">
        <f t="shared" si="42"/>
        <v>0.14035087719298245</v>
      </c>
      <c r="Y167" s="189">
        <f t="shared" si="43"/>
        <v>0</v>
      </c>
      <c r="Z167" s="189">
        <f t="shared" si="44"/>
        <v>0.12280701754385964</v>
      </c>
      <c r="AA167" s="189">
        <f t="shared" si="45"/>
        <v>1.7543859649122806E-2</v>
      </c>
      <c r="AB167" s="189">
        <f t="shared" si="46"/>
        <v>8.771929824561403E-2</v>
      </c>
      <c r="AC167" s="189">
        <f t="shared" si="47"/>
        <v>1.7543859649122806E-2</v>
      </c>
      <c r="AD167" s="189">
        <f t="shared" si="48"/>
        <v>0.14035087719298245</v>
      </c>
      <c r="AE167" s="189">
        <f t="shared" si="49"/>
        <v>8.771929824561403E-2</v>
      </c>
      <c r="AF167" s="189">
        <f t="shared" si="36"/>
        <v>2.9933830479991598E-3</v>
      </c>
      <c r="AG167" s="189">
        <f>town_establishments[[#This Row],[share of state establishments]]/($AF$250-$AF$249)</f>
        <v>3.0963115867238852E-3</v>
      </c>
      <c r="AH167" s="189">
        <f>town_establishments[[#This Row],[share of state establishments (no residual)]]/(INDEX(regional_establishments[share of state establishments],MATCH(town_establishments[[#This Row],[Regional Planning Commission]],regional_establishments[Regional Planning Commission],0)))</f>
        <v>3.5185185185185194E-2</v>
      </c>
    </row>
    <row r="168" spans="1:34" x14ac:dyDescent="0.25">
      <c r="A168" t="s">
        <v>383</v>
      </c>
      <c r="B168" t="str">
        <f>INDEX(town_population[Regional Planning Commission],MATCH(town_establishments[[#This Row],[Municipality]],town_population[Municipality],0))</f>
        <v>Bennington County Regional Commission</v>
      </c>
      <c r="E168">
        <v>2</v>
      </c>
      <c r="I168">
        <v>3</v>
      </c>
      <c r="K168">
        <v>4</v>
      </c>
      <c r="M168">
        <v>1</v>
      </c>
      <c r="N168">
        <v>1</v>
      </c>
      <c r="P168">
        <v>3</v>
      </c>
      <c r="Q168">
        <f t="shared" si="34"/>
        <v>14</v>
      </c>
      <c r="R168" s="189">
        <f t="shared" si="35"/>
        <v>0</v>
      </c>
      <c r="S168" s="189">
        <f t="shared" si="37"/>
        <v>0</v>
      </c>
      <c r="T168" s="189">
        <f t="shared" si="38"/>
        <v>0.14285714285714285</v>
      </c>
      <c r="U168" s="189">
        <f t="shared" si="39"/>
        <v>0</v>
      </c>
      <c r="V168" s="189">
        <f t="shared" si="40"/>
        <v>0</v>
      </c>
      <c r="W168" s="189">
        <f t="shared" si="41"/>
        <v>0</v>
      </c>
      <c r="X168" s="189">
        <f t="shared" si="42"/>
        <v>0.21428571428571427</v>
      </c>
      <c r="Y168" s="189">
        <f t="shared" si="43"/>
        <v>0</v>
      </c>
      <c r="Z168" s="189">
        <f t="shared" si="44"/>
        <v>0.2857142857142857</v>
      </c>
      <c r="AA168" s="189">
        <f t="shared" si="45"/>
        <v>0</v>
      </c>
      <c r="AB168" s="189">
        <f t="shared" si="46"/>
        <v>7.1428571428571425E-2</v>
      </c>
      <c r="AC168" s="189">
        <f t="shared" si="47"/>
        <v>7.1428571428571425E-2</v>
      </c>
      <c r="AD168" s="189">
        <f t="shared" si="48"/>
        <v>0</v>
      </c>
      <c r="AE168" s="189">
        <f t="shared" si="49"/>
        <v>0.21428571428571427</v>
      </c>
      <c r="AF168" s="189">
        <f t="shared" si="36"/>
        <v>7.3521688898224981E-4</v>
      </c>
      <c r="AG168" s="189">
        <f>town_establishments[[#This Row],[share of state establishments]]/($AF$250-$AF$249)</f>
        <v>7.6049758270411213E-4</v>
      </c>
      <c r="AH168" s="189">
        <f>town_establishments[[#This Row],[share of state establishments (no residual)]]/(INDEX(regional_establishments[share of state establishments],MATCH(town_establishments[[#This Row],[Regional Planning Commission]],regional_establishments[Regional Planning Commission],0)))</f>
        <v>1.220575414123801E-2</v>
      </c>
    </row>
    <row r="169" spans="1:34" x14ac:dyDescent="0.25">
      <c r="A169" t="s">
        <v>385</v>
      </c>
      <c r="B169" t="str">
        <f>INDEX(town_population[Regional Planning Commission],MATCH(town_establishments[[#This Row],[Municipality]],town_population[Municipality],0))</f>
        <v>Rutland Regional Planning Commission</v>
      </c>
      <c r="C169">
        <v>54</v>
      </c>
      <c r="D169">
        <v>137</v>
      </c>
      <c r="E169">
        <v>9</v>
      </c>
      <c r="F169">
        <v>15</v>
      </c>
      <c r="G169">
        <v>43</v>
      </c>
      <c r="H169">
        <v>27</v>
      </c>
      <c r="I169">
        <v>105</v>
      </c>
      <c r="J169">
        <v>7</v>
      </c>
      <c r="K169">
        <v>46</v>
      </c>
      <c r="L169">
        <v>11</v>
      </c>
      <c r="M169">
        <v>137</v>
      </c>
      <c r="N169">
        <v>15</v>
      </c>
      <c r="O169">
        <v>82</v>
      </c>
      <c r="P169">
        <v>78</v>
      </c>
      <c r="Q169">
        <f t="shared" si="34"/>
        <v>766</v>
      </c>
      <c r="R169" s="189">
        <f t="shared" si="35"/>
        <v>7.0496083550913843E-2</v>
      </c>
      <c r="S169" s="189">
        <f t="shared" si="37"/>
        <v>0.17885117493472585</v>
      </c>
      <c r="T169" s="189">
        <f t="shared" si="38"/>
        <v>1.1749347258485639E-2</v>
      </c>
      <c r="U169" s="189">
        <f t="shared" si="39"/>
        <v>1.95822454308094E-2</v>
      </c>
      <c r="V169" s="189">
        <f t="shared" si="40"/>
        <v>5.6135770234986948E-2</v>
      </c>
      <c r="W169" s="189">
        <f t="shared" si="41"/>
        <v>3.5248041775456922E-2</v>
      </c>
      <c r="X169" s="189">
        <f t="shared" si="42"/>
        <v>0.13707571801566579</v>
      </c>
      <c r="Y169" s="189">
        <f t="shared" si="43"/>
        <v>9.138381201044387E-3</v>
      </c>
      <c r="Z169" s="189">
        <f t="shared" si="44"/>
        <v>6.0052219321148827E-2</v>
      </c>
      <c r="AA169" s="189">
        <f t="shared" si="45"/>
        <v>1.4360313315926894E-2</v>
      </c>
      <c r="AB169" s="189">
        <f t="shared" si="46"/>
        <v>0.17885117493472585</v>
      </c>
      <c r="AC169" s="189">
        <f t="shared" si="47"/>
        <v>1.95822454308094E-2</v>
      </c>
      <c r="AD169" s="189">
        <f t="shared" si="48"/>
        <v>0.10704960835509138</v>
      </c>
      <c r="AE169" s="189">
        <f t="shared" si="49"/>
        <v>0.10182767624020887</v>
      </c>
      <c r="AF169" s="189">
        <f t="shared" si="36"/>
        <v>4.0226866925743093E-2</v>
      </c>
      <c r="AG169" s="189">
        <f>town_establishments[[#This Row],[share of state establishments]]/($AF$250-$AF$249)</f>
        <v>4.1610082025096418E-2</v>
      </c>
      <c r="AH169" s="189">
        <f>town_establishments[[#This Row],[share of state establishments (no residual)]]/(INDEX(regional_establishments[share of state establishments],MATCH(town_establishments[[#This Row],[Regional Planning Commission]],regional_establishments[Regional Planning Commission],0)))</f>
        <v>0.43082114735658039</v>
      </c>
    </row>
    <row r="170" spans="1:34" x14ac:dyDescent="0.25">
      <c r="A170" t="s">
        <v>384</v>
      </c>
      <c r="B170" t="str">
        <f>INDEX(town_population[Regional Planning Commission],MATCH(town_establishments[[#This Row],[Municipality]],town_population[Municipality],0))</f>
        <v>Rutland Regional Planning Commission</v>
      </c>
      <c r="C170">
        <v>12</v>
      </c>
      <c r="D170">
        <v>47</v>
      </c>
      <c r="F170">
        <v>1</v>
      </c>
      <c r="G170">
        <v>3</v>
      </c>
      <c r="H170">
        <v>3</v>
      </c>
      <c r="I170">
        <v>10</v>
      </c>
      <c r="K170">
        <v>11</v>
      </c>
      <c r="L170">
        <v>1</v>
      </c>
      <c r="M170">
        <v>10</v>
      </c>
      <c r="N170">
        <v>1</v>
      </c>
      <c r="O170">
        <v>6</v>
      </c>
      <c r="P170">
        <v>10</v>
      </c>
      <c r="Q170">
        <f t="shared" si="34"/>
        <v>115</v>
      </c>
      <c r="R170" s="189">
        <f t="shared" si="35"/>
        <v>0.10434782608695652</v>
      </c>
      <c r="S170" s="189">
        <f t="shared" si="37"/>
        <v>0.40869565217391307</v>
      </c>
      <c r="T170" s="189">
        <f t="shared" si="38"/>
        <v>0</v>
      </c>
      <c r="U170" s="189">
        <f t="shared" si="39"/>
        <v>8.6956521739130436E-3</v>
      </c>
      <c r="V170" s="189">
        <f t="shared" si="40"/>
        <v>2.6086956521739129E-2</v>
      </c>
      <c r="W170" s="189">
        <f t="shared" si="41"/>
        <v>2.6086956521739129E-2</v>
      </c>
      <c r="X170" s="189">
        <f t="shared" si="42"/>
        <v>8.6956521739130432E-2</v>
      </c>
      <c r="Y170" s="189">
        <f t="shared" si="43"/>
        <v>0</v>
      </c>
      <c r="Z170" s="189">
        <f t="shared" si="44"/>
        <v>9.5652173913043481E-2</v>
      </c>
      <c r="AA170" s="189">
        <f t="shared" si="45"/>
        <v>8.6956521739130436E-3</v>
      </c>
      <c r="AB170" s="189">
        <f t="shared" si="46"/>
        <v>8.6956521739130432E-2</v>
      </c>
      <c r="AC170" s="189">
        <f t="shared" si="47"/>
        <v>8.6956521739130436E-3</v>
      </c>
      <c r="AD170" s="189">
        <f t="shared" si="48"/>
        <v>5.2173913043478258E-2</v>
      </c>
      <c r="AE170" s="189">
        <f t="shared" si="49"/>
        <v>8.6956521739130432E-2</v>
      </c>
      <c r="AF170" s="189">
        <f t="shared" si="36"/>
        <v>6.0392815880684798E-3</v>
      </c>
      <c r="AG170" s="189">
        <f>town_establishments[[#This Row],[share of state establishments]]/($AF$250-$AF$249)</f>
        <v>6.2469444293552058E-3</v>
      </c>
      <c r="AH170" s="189">
        <f>town_establishments[[#This Row],[share of state establishments (no residual)]]/(INDEX(regional_establishments[share of state establishments],MATCH(town_establishments[[#This Row],[Regional Planning Commission]],regional_establishments[Regional Planning Commission],0)))</f>
        <v>6.4679415073115851E-2</v>
      </c>
    </row>
    <row r="171" spans="1:34" x14ac:dyDescent="0.25">
      <c r="A171" t="s">
        <v>386</v>
      </c>
      <c r="B171" t="str">
        <f>INDEX(town_population[Regional Planning Commission],MATCH(town_establishments[[#This Row],[Municipality]],town_population[Municipality],0))</f>
        <v>Northeastern Vermont Development Association</v>
      </c>
      <c r="C171">
        <v>1</v>
      </c>
      <c r="D171">
        <v>1</v>
      </c>
      <c r="E171">
        <v>2</v>
      </c>
      <c r="I171">
        <v>3</v>
      </c>
      <c r="K171">
        <v>1</v>
      </c>
      <c r="M171">
        <v>1</v>
      </c>
      <c r="P171">
        <v>3</v>
      </c>
      <c r="Q171">
        <f t="shared" si="34"/>
        <v>12</v>
      </c>
      <c r="R171" s="189">
        <f t="shared" si="35"/>
        <v>8.3333333333333329E-2</v>
      </c>
      <c r="S171" s="189">
        <f t="shared" si="37"/>
        <v>8.3333333333333329E-2</v>
      </c>
      <c r="T171" s="189">
        <f t="shared" si="38"/>
        <v>0.16666666666666666</v>
      </c>
      <c r="U171" s="189">
        <f t="shared" si="39"/>
        <v>0</v>
      </c>
      <c r="V171" s="189">
        <f t="shared" si="40"/>
        <v>0</v>
      </c>
      <c r="W171" s="189">
        <f t="shared" si="41"/>
        <v>0</v>
      </c>
      <c r="X171" s="189">
        <f t="shared" si="42"/>
        <v>0.25</v>
      </c>
      <c r="Y171" s="189">
        <f t="shared" si="43"/>
        <v>0</v>
      </c>
      <c r="Z171" s="189">
        <f t="shared" si="44"/>
        <v>8.3333333333333329E-2</v>
      </c>
      <c r="AA171" s="189">
        <f t="shared" si="45"/>
        <v>0</v>
      </c>
      <c r="AB171" s="189">
        <f t="shared" si="46"/>
        <v>8.3333333333333329E-2</v>
      </c>
      <c r="AC171" s="189">
        <f t="shared" si="47"/>
        <v>0</v>
      </c>
      <c r="AD171" s="189">
        <f t="shared" si="48"/>
        <v>0</v>
      </c>
      <c r="AE171" s="189">
        <f t="shared" si="49"/>
        <v>0.25</v>
      </c>
      <c r="AF171" s="189">
        <f t="shared" si="36"/>
        <v>6.3018590484192839E-4</v>
      </c>
      <c r="AG171" s="189">
        <f>town_establishments[[#This Row],[share of state establishments]]/($AF$250-$AF$249)</f>
        <v>6.5185507088923894E-4</v>
      </c>
      <c r="AH171" s="189">
        <f>town_establishments[[#This Row],[share of state establishments (no residual)]]/(INDEX(regional_establishments[share of state establishments],MATCH(town_establishments[[#This Row],[Regional Planning Commission]],regional_establishments[Regional Planning Commission],0)))</f>
        <v>8.2248115147361203E-3</v>
      </c>
    </row>
    <row r="172" spans="1:34" x14ac:dyDescent="0.25">
      <c r="A172" t="s">
        <v>509</v>
      </c>
      <c r="B172" t="str">
        <f>INDEX(town_population[Regional Planning Commission],MATCH(town_establishments[[#This Row],[Municipality]],town_population[Municipality],0))</f>
        <v>Northwest Regional Planning Commission</v>
      </c>
      <c r="C172">
        <v>16</v>
      </c>
      <c r="D172">
        <v>62</v>
      </c>
      <c r="E172">
        <v>9</v>
      </c>
      <c r="F172">
        <v>9</v>
      </c>
      <c r="G172">
        <v>20</v>
      </c>
      <c r="H172">
        <v>10</v>
      </c>
      <c r="I172">
        <v>44</v>
      </c>
      <c r="J172">
        <v>1</v>
      </c>
      <c r="K172">
        <v>35</v>
      </c>
      <c r="L172">
        <v>1</v>
      </c>
      <c r="M172">
        <v>57</v>
      </c>
      <c r="N172">
        <v>2</v>
      </c>
      <c r="O172">
        <v>32</v>
      </c>
      <c r="P172">
        <v>27</v>
      </c>
      <c r="Q172">
        <f t="shared" si="34"/>
        <v>325</v>
      </c>
      <c r="R172" s="189">
        <f t="shared" si="35"/>
        <v>4.9230769230769231E-2</v>
      </c>
      <c r="S172" s="189">
        <f t="shared" si="37"/>
        <v>0.19076923076923077</v>
      </c>
      <c r="T172" s="189">
        <f t="shared" si="38"/>
        <v>2.7692307692307693E-2</v>
      </c>
      <c r="U172" s="189">
        <f t="shared" si="39"/>
        <v>2.7692307692307693E-2</v>
      </c>
      <c r="V172" s="189">
        <f t="shared" si="40"/>
        <v>6.1538461538461542E-2</v>
      </c>
      <c r="W172" s="189">
        <f t="shared" si="41"/>
        <v>3.0769230769230771E-2</v>
      </c>
      <c r="X172" s="189">
        <f t="shared" si="42"/>
        <v>0.13538461538461538</v>
      </c>
      <c r="Y172" s="189">
        <f t="shared" si="43"/>
        <v>3.0769230769230769E-3</v>
      </c>
      <c r="Z172" s="189">
        <f t="shared" si="44"/>
        <v>0.1076923076923077</v>
      </c>
      <c r="AA172" s="189">
        <f t="shared" si="45"/>
        <v>3.0769230769230769E-3</v>
      </c>
      <c r="AB172" s="189">
        <f t="shared" si="46"/>
        <v>0.17538461538461539</v>
      </c>
      <c r="AC172" s="189">
        <f t="shared" si="47"/>
        <v>6.1538461538461538E-3</v>
      </c>
      <c r="AD172" s="189">
        <f t="shared" si="48"/>
        <v>9.8461538461538461E-2</v>
      </c>
      <c r="AE172" s="189">
        <f t="shared" si="49"/>
        <v>8.3076923076923076E-2</v>
      </c>
      <c r="AF172" s="189">
        <f t="shared" si="36"/>
        <v>1.7067534922802226E-2</v>
      </c>
      <c r="AG172" s="189">
        <f>town_establishments[[#This Row],[share of state establishments]]/($AF$250-$AF$249)</f>
        <v>1.7654408169916886E-2</v>
      </c>
      <c r="AH172" s="189">
        <f>town_establishments[[#This Row],[share of state establishments (no residual)]]/(INDEX(regional_establishments[share of state establishments],MATCH(town_establishments[[#This Row],[Regional Planning Commission]],regional_establishments[Regional Planning Commission],0)))</f>
        <v>0.31800391389432486</v>
      </c>
    </row>
    <row r="173" spans="1:34" x14ac:dyDescent="0.25">
      <c r="A173" t="s">
        <v>401</v>
      </c>
      <c r="B173" t="str">
        <f>INDEX(town_population[Regional Planning Commission],MATCH(town_establishments[[#This Row],[Municipality]],town_population[Municipality],0))</f>
        <v>Northwest Regional Planning Commission</v>
      </c>
      <c r="C173">
        <v>5</v>
      </c>
      <c r="D173">
        <v>24</v>
      </c>
      <c r="E173">
        <v>1</v>
      </c>
      <c r="G173">
        <v>6</v>
      </c>
      <c r="H173">
        <v>4</v>
      </c>
      <c r="I173">
        <v>9</v>
      </c>
      <c r="K173">
        <v>4</v>
      </c>
      <c r="L173">
        <v>3</v>
      </c>
      <c r="M173">
        <v>13</v>
      </c>
      <c r="O173">
        <v>12</v>
      </c>
      <c r="P173">
        <v>14</v>
      </c>
      <c r="Q173">
        <f t="shared" si="34"/>
        <v>95</v>
      </c>
      <c r="R173" s="189">
        <f t="shared" si="35"/>
        <v>5.2631578947368418E-2</v>
      </c>
      <c r="S173" s="189">
        <f t="shared" si="37"/>
        <v>0.25263157894736843</v>
      </c>
      <c r="T173" s="189">
        <f t="shared" si="38"/>
        <v>1.0526315789473684E-2</v>
      </c>
      <c r="U173" s="189">
        <f t="shared" si="39"/>
        <v>0</v>
      </c>
      <c r="V173" s="189">
        <f t="shared" si="40"/>
        <v>6.3157894736842107E-2</v>
      </c>
      <c r="W173" s="189">
        <f t="shared" si="41"/>
        <v>4.2105263157894736E-2</v>
      </c>
      <c r="X173" s="189">
        <f t="shared" si="42"/>
        <v>9.4736842105263161E-2</v>
      </c>
      <c r="Y173" s="189">
        <f t="shared" si="43"/>
        <v>0</v>
      </c>
      <c r="Z173" s="189">
        <f t="shared" si="44"/>
        <v>4.2105263157894736E-2</v>
      </c>
      <c r="AA173" s="189">
        <f t="shared" si="45"/>
        <v>3.1578947368421054E-2</v>
      </c>
      <c r="AB173" s="189">
        <f t="shared" si="46"/>
        <v>0.1368421052631579</v>
      </c>
      <c r="AC173" s="189">
        <f t="shared" si="47"/>
        <v>0</v>
      </c>
      <c r="AD173" s="189">
        <f t="shared" si="48"/>
        <v>0.12631578947368421</v>
      </c>
      <c r="AE173" s="189">
        <f t="shared" si="49"/>
        <v>0.14736842105263157</v>
      </c>
      <c r="AF173" s="189">
        <f t="shared" si="36"/>
        <v>4.9889717466652661E-3</v>
      </c>
      <c r="AG173" s="189">
        <f>town_establishments[[#This Row],[share of state establishments]]/($AF$250-$AF$249)</f>
        <v>5.1605193112064752E-3</v>
      </c>
      <c r="AH173" s="189">
        <f>town_establishments[[#This Row],[share of state establishments (no residual)]]/(INDEX(regional_establishments[share of state establishments],MATCH(town_establishments[[#This Row],[Regional Planning Commission]],regional_establishments[Regional Planning Commission],0)))</f>
        <v>9.2954990215264197E-2</v>
      </c>
    </row>
    <row r="174" spans="1:34" x14ac:dyDescent="0.25">
      <c r="A174" t="s">
        <v>402</v>
      </c>
      <c r="B174" t="str">
        <f>INDEX(town_population[Regional Planning Commission],MATCH(town_establishments[[#This Row],[Municipality]],town_population[Municipality],0))</f>
        <v>Chittenden County Regional Planning Commission</v>
      </c>
      <c r="C174">
        <v>1</v>
      </c>
      <c r="D174">
        <v>1</v>
      </c>
      <c r="I174">
        <v>2</v>
      </c>
      <c r="K174">
        <v>1</v>
      </c>
      <c r="M174">
        <v>1</v>
      </c>
      <c r="N174">
        <v>1</v>
      </c>
      <c r="Q174">
        <f t="shared" si="34"/>
        <v>7</v>
      </c>
      <c r="R174" s="189">
        <f t="shared" si="35"/>
        <v>0.14285714285714285</v>
      </c>
      <c r="S174" s="189">
        <f t="shared" si="37"/>
        <v>0.14285714285714285</v>
      </c>
      <c r="T174" s="189">
        <f t="shared" si="38"/>
        <v>0</v>
      </c>
      <c r="U174" s="189">
        <f t="shared" si="39"/>
        <v>0</v>
      </c>
      <c r="V174" s="189">
        <f t="shared" si="40"/>
        <v>0</v>
      </c>
      <c r="W174" s="189">
        <f t="shared" si="41"/>
        <v>0</v>
      </c>
      <c r="X174" s="189">
        <f t="shared" si="42"/>
        <v>0.2857142857142857</v>
      </c>
      <c r="Y174" s="189">
        <f t="shared" si="43"/>
        <v>0</v>
      </c>
      <c r="Z174" s="189">
        <f t="shared" si="44"/>
        <v>0.14285714285714285</v>
      </c>
      <c r="AA174" s="189">
        <f t="shared" si="45"/>
        <v>0</v>
      </c>
      <c r="AB174" s="189">
        <f t="shared" si="46"/>
        <v>0.14285714285714285</v>
      </c>
      <c r="AC174" s="189">
        <f t="shared" si="47"/>
        <v>0.14285714285714285</v>
      </c>
      <c r="AD174" s="189">
        <f t="shared" si="48"/>
        <v>0</v>
      </c>
      <c r="AE174" s="189">
        <f t="shared" si="49"/>
        <v>0</v>
      </c>
      <c r="AF174" s="189">
        <f t="shared" si="36"/>
        <v>3.676084444911249E-4</v>
      </c>
      <c r="AG174" s="189">
        <f>town_establishments[[#This Row],[share of state establishments]]/($AF$250-$AF$249)</f>
        <v>3.8024879135205606E-4</v>
      </c>
      <c r="AH174" s="189">
        <f>town_establishments[[#This Row],[share of state establishments (no residual)]]/(INDEX(regional_establishments[share of state establishments],MATCH(town_establishments[[#This Row],[Regional Planning Commission]],regional_establishments[Regional Planning Commission],0)))</f>
        <v>1.2917512456172729E-3</v>
      </c>
    </row>
    <row r="175" spans="1:34" x14ac:dyDescent="0.25">
      <c r="A175" t="s">
        <v>403</v>
      </c>
      <c r="B175" t="str">
        <f>INDEX(town_population[Regional Planning Commission],MATCH(town_establishments[[#This Row],[Municipality]],town_population[Municipality],0))</f>
        <v>Northeastern Vermont Development Association</v>
      </c>
      <c r="C175">
        <v>17</v>
      </c>
      <c r="D175">
        <v>70</v>
      </c>
      <c r="E175">
        <v>12</v>
      </c>
      <c r="F175">
        <v>10</v>
      </c>
      <c r="G175">
        <v>21</v>
      </c>
      <c r="H175">
        <v>7</v>
      </c>
      <c r="I175">
        <v>36</v>
      </c>
      <c r="K175">
        <v>18</v>
      </c>
      <c r="L175">
        <v>9</v>
      </c>
      <c r="M175">
        <v>36</v>
      </c>
      <c r="N175">
        <v>7</v>
      </c>
      <c r="O175">
        <v>27</v>
      </c>
      <c r="P175">
        <v>28</v>
      </c>
      <c r="Q175">
        <f t="shared" si="34"/>
        <v>298</v>
      </c>
      <c r="R175" s="189">
        <f t="shared" si="35"/>
        <v>5.7046979865771813E-2</v>
      </c>
      <c r="S175" s="189">
        <f t="shared" si="37"/>
        <v>0.2348993288590604</v>
      </c>
      <c r="T175" s="189">
        <f t="shared" si="38"/>
        <v>4.0268456375838924E-2</v>
      </c>
      <c r="U175" s="189">
        <f t="shared" si="39"/>
        <v>3.3557046979865772E-2</v>
      </c>
      <c r="V175" s="189">
        <f t="shared" si="40"/>
        <v>7.0469798657718116E-2</v>
      </c>
      <c r="W175" s="189">
        <f t="shared" si="41"/>
        <v>2.3489932885906041E-2</v>
      </c>
      <c r="X175" s="189">
        <f t="shared" si="42"/>
        <v>0.12080536912751678</v>
      </c>
      <c r="Y175" s="189">
        <f t="shared" si="43"/>
        <v>0</v>
      </c>
      <c r="Z175" s="189">
        <f t="shared" si="44"/>
        <v>6.0402684563758392E-2</v>
      </c>
      <c r="AA175" s="189">
        <f t="shared" si="45"/>
        <v>3.0201342281879196E-2</v>
      </c>
      <c r="AB175" s="189">
        <f t="shared" si="46"/>
        <v>0.12080536912751678</v>
      </c>
      <c r="AC175" s="189">
        <f t="shared" si="47"/>
        <v>2.3489932885906041E-2</v>
      </c>
      <c r="AD175" s="189">
        <f t="shared" si="48"/>
        <v>9.0604026845637578E-2</v>
      </c>
      <c r="AE175" s="189">
        <f t="shared" si="49"/>
        <v>9.3959731543624164E-2</v>
      </c>
      <c r="AF175" s="189">
        <f t="shared" si="36"/>
        <v>1.5649616636907889E-2</v>
      </c>
      <c r="AG175" s="189">
        <f>town_establishments[[#This Row],[share of state establishments]]/($AF$250-$AF$249)</f>
        <v>1.6187734260416101E-2</v>
      </c>
      <c r="AH175" s="189">
        <f>town_establishments[[#This Row],[share of state establishments (no residual)]]/(INDEX(regional_establishments[share of state establishments],MATCH(town_establishments[[#This Row],[Regional Planning Commission]],regional_establishments[Regional Planning Commission],0)))</f>
        <v>0.20424948594928033</v>
      </c>
    </row>
    <row r="176" spans="1:34" x14ac:dyDescent="0.25">
      <c r="A176" t="s">
        <v>387</v>
      </c>
      <c r="B176" t="str">
        <f>INDEX(town_population[Regional Planning Commission],MATCH(town_establishments[[#This Row],[Municipality]],town_population[Municipality],0))</f>
        <v>Addison County Regional Planning Commission</v>
      </c>
      <c r="C176">
        <v>1</v>
      </c>
      <c r="E176">
        <v>1</v>
      </c>
      <c r="H176">
        <v>1</v>
      </c>
      <c r="I176">
        <v>2</v>
      </c>
      <c r="K176">
        <v>7</v>
      </c>
      <c r="L176">
        <v>1</v>
      </c>
      <c r="M176">
        <v>2</v>
      </c>
      <c r="O176">
        <v>5</v>
      </c>
      <c r="P176">
        <v>3</v>
      </c>
      <c r="Q176">
        <f t="shared" si="34"/>
        <v>23</v>
      </c>
      <c r="R176" s="189">
        <f t="shared" si="35"/>
        <v>4.3478260869565216E-2</v>
      </c>
      <c r="S176" s="189">
        <f t="shared" si="37"/>
        <v>0</v>
      </c>
      <c r="T176" s="189">
        <f t="shared" si="38"/>
        <v>4.3478260869565216E-2</v>
      </c>
      <c r="U176" s="189">
        <f t="shared" si="39"/>
        <v>0</v>
      </c>
      <c r="V176" s="189">
        <f t="shared" si="40"/>
        <v>0</v>
      </c>
      <c r="W176" s="189">
        <f t="shared" si="41"/>
        <v>4.3478260869565216E-2</v>
      </c>
      <c r="X176" s="189">
        <f t="shared" si="42"/>
        <v>8.6956521739130432E-2</v>
      </c>
      <c r="Y176" s="189">
        <f t="shared" si="43"/>
        <v>0</v>
      </c>
      <c r="Z176" s="189">
        <f t="shared" si="44"/>
        <v>0.30434782608695654</v>
      </c>
      <c r="AA176" s="189">
        <f t="shared" si="45"/>
        <v>4.3478260869565216E-2</v>
      </c>
      <c r="AB176" s="189">
        <f t="shared" si="46"/>
        <v>8.6956521739130432E-2</v>
      </c>
      <c r="AC176" s="189">
        <f t="shared" si="47"/>
        <v>0</v>
      </c>
      <c r="AD176" s="189">
        <f t="shared" si="48"/>
        <v>0.21739130434782608</v>
      </c>
      <c r="AE176" s="189">
        <f t="shared" si="49"/>
        <v>0.13043478260869565</v>
      </c>
      <c r="AF176" s="189">
        <f t="shared" si="36"/>
        <v>1.207856317613696E-3</v>
      </c>
      <c r="AG176" s="189">
        <f>town_establishments[[#This Row],[share of state establishments]]/($AF$250-$AF$249)</f>
        <v>1.2493888858710412E-3</v>
      </c>
      <c r="AH176" s="189">
        <f>town_establishments[[#This Row],[share of state establishments (no residual)]]/(INDEX(regional_establishments[share of state establishments],MATCH(town_establishments[[#This Row],[Regional Planning Commission]],regional_establishments[Regional Planning Commission],0)))</f>
        <v>2.4572649572649572E-2</v>
      </c>
    </row>
    <row r="177" spans="1:34" x14ac:dyDescent="0.25">
      <c r="A177" t="s">
        <v>388</v>
      </c>
      <c r="B177" t="str">
        <f>INDEX(town_population[Regional Planning Commission],MATCH(town_establishments[[#This Row],[Municipality]],town_population[Municipality],0))</f>
        <v>Bennington County Regional Commission</v>
      </c>
      <c r="D177">
        <v>1</v>
      </c>
      <c r="I177">
        <v>1</v>
      </c>
      <c r="P177">
        <v>1</v>
      </c>
      <c r="Q177">
        <f t="shared" si="34"/>
        <v>3</v>
      </c>
      <c r="R177" s="189">
        <f t="shared" si="35"/>
        <v>0</v>
      </c>
      <c r="S177" s="189">
        <f t="shared" si="37"/>
        <v>0.33333333333333331</v>
      </c>
      <c r="T177" s="189">
        <f t="shared" si="38"/>
        <v>0</v>
      </c>
      <c r="U177" s="189">
        <f t="shared" si="39"/>
        <v>0</v>
      </c>
      <c r="V177" s="189">
        <f t="shared" si="40"/>
        <v>0</v>
      </c>
      <c r="W177" s="189">
        <f t="shared" si="41"/>
        <v>0</v>
      </c>
      <c r="X177" s="189">
        <f t="shared" si="42"/>
        <v>0.33333333333333331</v>
      </c>
      <c r="Y177" s="189">
        <f t="shared" si="43"/>
        <v>0</v>
      </c>
      <c r="Z177" s="189">
        <f t="shared" si="44"/>
        <v>0</v>
      </c>
      <c r="AA177" s="189">
        <f t="shared" si="45"/>
        <v>0</v>
      </c>
      <c r="AB177" s="189">
        <f t="shared" si="46"/>
        <v>0</v>
      </c>
      <c r="AC177" s="189">
        <f t="shared" si="47"/>
        <v>0</v>
      </c>
      <c r="AD177" s="189">
        <f t="shared" si="48"/>
        <v>0</v>
      </c>
      <c r="AE177" s="189">
        <f t="shared" si="49"/>
        <v>0.33333333333333331</v>
      </c>
      <c r="AF177" s="189">
        <f t="shared" si="36"/>
        <v>1.575464762104821E-4</v>
      </c>
      <c r="AG177" s="189">
        <f>town_establishments[[#This Row],[share of state establishments]]/($AF$250-$AF$249)</f>
        <v>1.6296376772230973E-4</v>
      </c>
      <c r="AH177" s="189">
        <f>town_establishments[[#This Row],[share of state establishments (no residual)]]/(INDEX(regional_establishments[share of state establishments],MATCH(town_establishments[[#This Row],[Regional Planning Commission]],regional_establishments[Regional Planning Commission],0)))</f>
        <v>2.6155187445510019E-3</v>
      </c>
    </row>
    <row r="178" spans="1:34" x14ac:dyDescent="0.25">
      <c r="A178" t="s">
        <v>389</v>
      </c>
      <c r="B178" t="str">
        <f>INDEX(town_population[Regional Planning Commission],MATCH(town_establishments[[#This Row],[Municipality]],town_population[Municipality],0))</f>
        <v>Windham Regional Commission</v>
      </c>
      <c r="C178">
        <v>1</v>
      </c>
      <c r="K178">
        <v>2</v>
      </c>
      <c r="Q178">
        <f t="shared" si="34"/>
        <v>3</v>
      </c>
      <c r="R178" s="189">
        <f t="shared" si="35"/>
        <v>0.33333333333333331</v>
      </c>
      <c r="S178" s="189">
        <f t="shared" si="37"/>
        <v>0</v>
      </c>
      <c r="T178" s="189">
        <f t="shared" si="38"/>
        <v>0</v>
      </c>
      <c r="U178" s="189">
        <f t="shared" si="39"/>
        <v>0</v>
      </c>
      <c r="V178" s="189">
        <f t="shared" si="40"/>
        <v>0</v>
      </c>
      <c r="W178" s="189">
        <f t="shared" si="41"/>
        <v>0</v>
      </c>
      <c r="X178" s="189">
        <f t="shared" si="42"/>
        <v>0</v>
      </c>
      <c r="Y178" s="189">
        <f t="shared" si="43"/>
        <v>0</v>
      </c>
      <c r="Z178" s="189">
        <f t="shared" si="44"/>
        <v>0.66666666666666663</v>
      </c>
      <c r="AA178" s="189">
        <f t="shared" si="45"/>
        <v>0</v>
      </c>
      <c r="AB178" s="189">
        <f t="shared" si="46"/>
        <v>0</v>
      </c>
      <c r="AC178" s="189">
        <f t="shared" si="47"/>
        <v>0</v>
      </c>
      <c r="AD178" s="189">
        <f t="shared" si="48"/>
        <v>0</v>
      </c>
      <c r="AE178" s="189">
        <f t="shared" si="49"/>
        <v>0</v>
      </c>
      <c r="AF178" s="189">
        <f t="shared" si="36"/>
        <v>1.575464762104821E-4</v>
      </c>
      <c r="AG178" s="189">
        <f>town_establishments[[#This Row],[share of state establishments]]/($AF$250-$AF$249)</f>
        <v>1.6296376772230973E-4</v>
      </c>
      <c r="AH178" s="189">
        <f>town_establishments[[#This Row],[share of state establishments (no residual)]]/(INDEX(regional_establishments[share of state establishments],MATCH(town_establishments[[#This Row],[Regional Planning Commission]],regional_establishments[Regional Planning Commission],0)))</f>
        <v>1.9317450096587249E-3</v>
      </c>
    </row>
    <row r="179" spans="1:34" x14ac:dyDescent="0.25">
      <c r="A179" t="s">
        <v>390</v>
      </c>
      <c r="B179" t="str">
        <f>INDEX(town_population[Regional Planning Commission],MATCH(town_establishments[[#This Row],[Municipality]],town_population[Municipality],0))</f>
        <v>Bennington County Regional Commission</v>
      </c>
      <c r="C179">
        <v>4</v>
      </c>
      <c r="D179">
        <v>3</v>
      </c>
      <c r="E179">
        <v>1</v>
      </c>
      <c r="G179">
        <v>1</v>
      </c>
      <c r="I179">
        <v>11</v>
      </c>
      <c r="K179">
        <v>6</v>
      </c>
      <c r="L179">
        <v>1</v>
      </c>
      <c r="M179">
        <v>4</v>
      </c>
      <c r="O179">
        <v>2</v>
      </c>
      <c r="P179">
        <v>8</v>
      </c>
      <c r="Q179">
        <f t="shared" si="34"/>
        <v>41</v>
      </c>
      <c r="R179" s="189">
        <f t="shared" si="35"/>
        <v>9.7560975609756101E-2</v>
      </c>
      <c r="S179" s="189">
        <f t="shared" si="37"/>
        <v>7.3170731707317069E-2</v>
      </c>
      <c r="T179" s="189">
        <f t="shared" si="38"/>
        <v>2.4390243902439025E-2</v>
      </c>
      <c r="U179" s="189">
        <f t="shared" si="39"/>
        <v>0</v>
      </c>
      <c r="V179" s="189">
        <f t="shared" si="40"/>
        <v>2.4390243902439025E-2</v>
      </c>
      <c r="W179" s="189">
        <f t="shared" si="41"/>
        <v>0</v>
      </c>
      <c r="X179" s="189">
        <f t="shared" si="42"/>
        <v>0.26829268292682928</v>
      </c>
      <c r="Y179" s="189">
        <f t="shared" si="43"/>
        <v>0</v>
      </c>
      <c r="Z179" s="189">
        <f t="shared" si="44"/>
        <v>0.14634146341463414</v>
      </c>
      <c r="AA179" s="189">
        <f t="shared" si="45"/>
        <v>2.4390243902439025E-2</v>
      </c>
      <c r="AB179" s="189">
        <f t="shared" si="46"/>
        <v>9.7560975609756101E-2</v>
      </c>
      <c r="AC179" s="189">
        <f t="shared" si="47"/>
        <v>0</v>
      </c>
      <c r="AD179" s="189">
        <f t="shared" si="48"/>
        <v>4.878048780487805E-2</v>
      </c>
      <c r="AE179" s="189">
        <f t="shared" si="49"/>
        <v>0.1951219512195122</v>
      </c>
      <c r="AF179" s="189">
        <f t="shared" si="36"/>
        <v>2.1531351748765885E-3</v>
      </c>
      <c r="AG179" s="189">
        <f>town_establishments[[#This Row],[share of state establishments]]/($AF$250-$AF$249)</f>
        <v>2.2271714922048997E-3</v>
      </c>
      <c r="AH179" s="189">
        <f>town_establishments[[#This Row],[share of state establishments (no residual)]]/(INDEX(regional_establishments[share of state establishments],MATCH(town_establishments[[#This Row],[Regional Planning Commission]],regional_establishments[Regional Planning Commission],0)))</f>
        <v>3.5745422842197026E-2</v>
      </c>
    </row>
    <row r="180" spans="1:34" x14ac:dyDescent="0.25">
      <c r="A180" t="s">
        <v>391</v>
      </c>
      <c r="B180" t="str">
        <f>INDEX(town_population[Regional Planning Commission],MATCH(town_establishments[[#This Row],[Municipality]],town_population[Municipality],0))</f>
        <v>Two Rivers-Ottauquechee Regional Commission</v>
      </c>
      <c r="C180">
        <v>2</v>
      </c>
      <c r="D180">
        <v>2</v>
      </c>
      <c r="E180">
        <v>2</v>
      </c>
      <c r="H180">
        <v>1</v>
      </c>
      <c r="I180">
        <v>3</v>
      </c>
      <c r="K180">
        <v>3</v>
      </c>
      <c r="L180">
        <v>1</v>
      </c>
      <c r="M180">
        <v>2</v>
      </c>
      <c r="N180">
        <v>1</v>
      </c>
      <c r="O180">
        <v>2</v>
      </c>
      <c r="P180">
        <v>3</v>
      </c>
      <c r="Q180">
        <f t="shared" si="34"/>
        <v>22</v>
      </c>
      <c r="R180" s="189">
        <f t="shared" si="35"/>
        <v>9.0909090909090912E-2</v>
      </c>
      <c r="S180" s="189">
        <f t="shared" si="37"/>
        <v>9.0909090909090912E-2</v>
      </c>
      <c r="T180" s="189">
        <f t="shared" si="38"/>
        <v>9.0909090909090912E-2</v>
      </c>
      <c r="U180" s="189">
        <f t="shared" si="39"/>
        <v>0</v>
      </c>
      <c r="V180" s="189">
        <f t="shared" si="40"/>
        <v>0</v>
      </c>
      <c r="W180" s="189">
        <f t="shared" si="41"/>
        <v>4.5454545454545456E-2</v>
      </c>
      <c r="X180" s="189">
        <f t="shared" si="42"/>
        <v>0.13636363636363635</v>
      </c>
      <c r="Y180" s="189">
        <f t="shared" si="43"/>
        <v>0</v>
      </c>
      <c r="Z180" s="189">
        <f t="shared" si="44"/>
        <v>0.13636363636363635</v>
      </c>
      <c r="AA180" s="189">
        <f t="shared" si="45"/>
        <v>4.5454545454545456E-2</v>
      </c>
      <c r="AB180" s="189">
        <f t="shared" si="46"/>
        <v>9.0909090909090912E-2</v>
      </c>
      <c r="AC180" s="189">
        <f t="shared" si="47"/>
        <v>4.5454545454545456E-2</v>
      </c>
      <c r="AD180" s="189">
        <f t="shared" si="48"/>
        <v>9.0909090909090912E-2</v>
      </c>
      <c r="AE180" s="189">
        <f t="shared" si="49"/>
        <v>0.13636363636363635</v>
      </c>
      <c r="AF180" s="189">
        <f t="shared" si="36"/>
        <v>1.1553408255435354E-3</v>
      </c>
      <c r="AG180" s="189">
        <f>town_establishments[[#This Row],[share of state establishments]]/($AF$250-$AF$249)</f>
        <v>1.1950676299636047E-3</v>
      </c>
      <c r="AH180" s="189">
        <f>town_establishments[[#This Row],[share of state establishments (no residual)]]/(INDEX(regional_establishments[share of state establishments],MATCH(town_establishments[[#This Row],[Regional Planning Commission]],regional_establishments[Regional Planning Commission],0)))</f>
        <v>1.3580246913580249E-2</v>
      </c>
    </row>
    <row r="181" spans="1:34" x14ac:dyDescent="0.25">
      <c r="A181" t="s">
        <v>392</v>
      </c>
      <c r="B181" t="str">
        <f>INDEX(town_population[Regional Planning Commission],MATCH(town_establishments[[#This Row],[Municipality]],town_population[Municipality],0))</f>
        <v>Northeastern Vermont Development Association</v>
      </c>
      <c r="E181">
        <v>1</v>
      </c>
      <c r="I181">
        <v>1</v>
      </c>
      <c r="L181">
        <v>0</v>
      </c>
      <c r="Q181">
        <f t="shared" si="34"/>
        <v>2</v>
      </c>
      <c r="R181" s="189">
        <f t="shared" si="35"/>
        <v>0</v>
      </c>
      <c r="S181" s="189">
        <f t="shared" si="37"/>
        <v>0</v>
      </c>
      <c r="T181" s="189">
        <f t="shared" si="38"/>
        <v>0.5</v>
      </c>
      <c r="U181" s="189">
        <f t="shared" si="39"/>
        <v>0</v>
      </c>
      <c r="V181" s="189">
        <f t="shared" si="40"/>
        <v>0</v>
      </c>
      <c r="W181" s="189">
        <f t="shared" si="41"/>
        <v>0</v>
      </c>
      <c r="X181" s="189">
        <f t="shared" si="42"/>
        <v>0.5</v>
      </c>
      <c r="Y181" s="189">
        <f t="shared" si="43"/>
        <v>0</v>
      </c>
      <c r="Z181" s="189">
        <f t="shared" si="44"/>
        <v>0</v>
      </c>
      <c r="AA181" s="189">
        <f t="shared" si="45"/>
        <v>0</v>
      </c>
      <c r="AB181" s="189">
        <f t="shared" si="46"/>
        <v>0</v>
      </c>
      <c r="AC181" s="189">
        <f t="shared" si="47"/>
        <v>0</v>
      </c>
      <c r="AD181" s="189">
        <f t="shared" si="48"/>
        <v>0</v>
      </c>
      <c r="AE181" s="189">
        <f t="shared" si="49"/>
        <v>0</v>
      </c>
      <c r="AF181" s="189">
        <f t="shared" si="36"/>
        <v>1.0503098414032139E-4</v>
      </c>
      <c r="AG181" s="189">
        <f>town_establishments[[#This Row],[share of state establishments]]/($AF$250-$AF$249)</f>
        <v>1.0864251181487315E-4</v>
      </c>
      <c r="AH181" s="189">
        <f>town_establishments[[#This Row],[share of state establishments (no residual)]]/(INDEX(regional_establishments[share of state establishments],MATCH(town_establishments[[#This Row],[Regional Planning Commission]],regional_establishments[Regional Planning Commission],0)))</f>
        <v>1.3708019191226866E-3</v>
      </c>
    </row>
    <row r="182" spans="1:34" x14ac:dyDescent="0.25">
      <c r="A182" t="s">
        <v>393</v>
      </c>
      <c r="B182" t="str">
        <f>INDEX(town_population[Regional Planning Commission],MATCH(town_establishments[[#This Row],[Municipality]],town_population[Municipality],0))</f>
        <v>Chittenden County Regional Planning Commission</v>
      </c>
      <c r="C182">
        <v>27</v>
      </c>
      <c r="D182">
        <v>53</v>
      </c>
      <c r="E182">
        <v>1</v>
      </c>
      <c r="F182">
        <v>7</v>
      </c>
      <c r="G182">
        <v>12</v>
      </c>
      <c r="H182">
        <v>8</v>
      </c>
      <c r="I182">
        <v>56</v>
      </c>
      <c r="J182">
        <v>2</v>
      </c>
      <c r="K182">
        <v>18</v>
      </c>
      <c r="L182">
        <v>14</v>
      </c>
      <c r="M182">
        <v>30</v>
      </c>
      <c r="N182">
        <v>6</v>
      </c>
      <c r="O182">
        <v>27</v>
      </c>
      <c r="P182">
        <v>41</v>
      </c>
      <c r="Q182">
        <f t="shared" si="34"/>
        <v>302</v>
      </c>
      <c r="R182" s="189">
        <f t="shared" si="35"/>
        <v>8.9403973509933773E-2</v>
      </c>
      <c r="S182" s="189">
        <f t="shared" si="37"/>
        <v>0.17549668874172186</v>
      </c>
      <c r="T182" s="189">
        <f t="shared" si="38"/>
        <v>3.3112582781456954E-3</v>
      </c>
      <c r="U182" s="189">
        <f t="shared" si="39"/>
        <v>2.3178807947019868E-2</v>
      </c>
      <c r="V182" s="189">
        <f t="shared" si="40"/>
        <v>3.9735099337748346E-2</v>
      </c>
      <c r="W182" s="189">
        <f t="shared" si="41"/>
        <v>2.6490066225165563E-2</v>
      </c>
      <c r="X182" s="189">
        <f t="shared" si="42"/>
        <v>0.18543046357615894</v>
      </c>
      <c r="Y182" s="189">
        <f t="shared" si="43"/>
        <v>6.6225165562913907E-3</v>
      </c>
      <c r="Z182" s="189">
        <f t="shared" si="44"/>
        <v>5.9602649006622516E-2</v>
      </c>
      <c r="AA182" s="189">
        <f t="shared" si="45"/>
        <v>4.6357615894039736E-2</v>
      </c>
      <c r="AB182" s="189">
        <f t="shared" si="46"/>
        <v>9.9337748344370855E-2</v>
      </c>
      <c r="AC182" s="189">
        <f t="shared" si="47"/>
        <v>1.9867549668874173E-2</v>
      </c>
      <c r="AD182" s="189">
        <f t="shared" si="48"/>
        <v>8.9403973509933773E-2</v>
      </c>
      <c r="AE182" s="189">
        <f t="shared" si="49"/>
        <v>0.13576158940397351</v>
      </c>
      <c r="AF182" s="189">
        <f t="shared" si="36"/>
        <v>1.585967860518853E-2</v>
      </c>
      <c r="AG182" s="189">
        <f>town_establishments[[#This Row],[share of state establishments]]/($AF$250-$AF$249)</f>
        <v>1.6405019284045846E-2</v>
      </c>
      <c r="AH182" s="189">
        <f>town_establishments[[#This Row],[share of state establishments (no residual)]]/(INDEX(regional_establishments[share of state establishments],MATCH(town_establishments[[#This Row],[Regional Planning Commission]],regional_establishments[Regional Planning Commission],0)))</f>
        <v>5.5729839453773765E-2</v>
      </c>
    </row>
    <row r="183" spans="1:34" x14ac:dyDescent="0.25">
      <c r="A183" t="s">
        <v>394</v>
      </c>
      <c r="B183" t="str">
        <f>INDEX(town_population[Regional Planning Commission],MATCH(town_establishments[[#This Row],[Municipality]],town_population[Municipality],0))</f>
        <v>Northwest Regional Planning Commission</v>
      </c>
      <c r="C183">
        <v>2</v>
      </c>
      <c r="D183">
        <v>4</v>
      </c>
      <c r="E183">
        <v>1</v>
      </c>
      <c r="I183">
        <v>0</v>
      </c>
      <c r="K183">
        <v>1</v>
      </c>
      <c r="L183">
        <v>1</v>
      </c>
      <c r="O183">
        <v>2</v>
      </c>
      <c r="P183">
        <v>3</v>
      </c>
      <c r="Q183">
        <f t="shared" si="34"/>
        <v>14</v>
      </c>
      <c r="R183" s="189">
        <f t="shared" si="35"/>
        <v>0.14285714285714285</v>
      </c>
      <c r="S183" s="189">
        <f t="shared" si="37"/>
        <v>0.2857142857142857</v>
      </c>
      <c r="T183" s="189">
        <f t="shared" si="38"/>
        <v>7.1428571428571425E-2</v>
      </c>
      <c r="U183" s="189">
        <f t="shared" si="39"/>
        <v>0</v>
      </c>
      <c r="V183" s="189">
        <f t="shared" si="40"/>
        <v>0</v>
      </c>
      <c r="W183" s="189">
        <f t="shared" si="41"/>
        <v>0</v>
      </c>
      <c r="X183" s="189">
        <f t="shared" si="42"/>
        <v>0</v>
      </c>
      <c r="Y183" s="189">
        <f t="shared" si="43"/>
        <v>0</v>
      </c>
      <c r="Z183" s="189">
        <f t="shared" si="44"/>
        <v>7.1428571428571425E-2</v>
      </c>
      <c r="AA183" s="189">
        <f t="shared" si="45"/>
        <v>7.1428571428571425E-2</v>
      </c>
      <c r="AB183" s="189">
        <f t="shared" si="46"/>
        <v>0</v>
      </c>
      <c r="AC183" s="189">
        <f t="shared" si="47"/>
        <v>0</v>
      </c>
      <c r="AD183" s="189">
        <f t="shared" si="48"/>
        <v>0.14285714285714285</v>
      </c>
      <c r="AE183" s="189">
        <f t="shared" si="49"/>
        <v>0.21428571428571427</v>
      </c>
      <c r="AF183" s="189">
        <f t="shared" si="36"/>
        <v>7.3521688898224981E-4</v>
      </c>
      <c r="AG183" s="189">
        <f>town_establishments[[#This Row],[share of state establishments]]/($AF$250-$AF$249)</f>
        <v>7.6049758270411213E-4</v>
      </c>
      <c r="AH183" s="189">
        <f>town_establishments[[#This Row],[share of state establishments (no residual)]]/(INDEX(regional_establishments[share of state establishments],MATCH(town_establishments[[#This Row],[Regional Planning Commission]],regional_establishments[Regional Planning Commission],0)))</f>
        <v>1.3698630136986302E-2</v>
      </c>
    </row>
    <row r="184" spans="1:34" x14ac:dyDescent="0.25">
      <c r="A184" t="s">
        <v>319</v>
      </c>
      <c r="B184" t="str">
        <f>INDEX(town_population[Regional Planning Commission],MATCH(town_establishments[[#This Row],[Municipality]],town_population[Municipality],0))</f>
        <v>Rutland Regional Planning Commission</v>
      </c>
      <c r="C184">
        <v>3</v>
      </c>
      <c r="D184">
        <v>22</v>
      </c>
      <c r="E184">
        <v>1</v>
      </c>
      <c r="F184">
        <v>3</v>
      </c>
      <c r="G184">
        <v>4</v>
      </c>
      <c r="H184">
        <v>20</v>
      </c>
      <c r="I184">
        <v>15</v>
      </c>
      <c r="J184">
        <v>1</v>
      </c>
      <c r="K184">
        <v>8</v>
      </c>
      <c r="L184">
        <v>3</v>
      </c>
      <c r="M184">
        <v>1</v>
      </c>
      <c r="N184">
        <v>5</v>
      </c>
      <c r="O184">
        <v>45</v>
      </c>
      <c r="P184">
        <v>8</v>
      </c>
      <c r="Q184">
        <f t="shared" si="34"/>
        <v>139</v>
      </c>
      <c r="R184" s="189">
        <f t="shared" si="35"/>
        <v>2.1582733812949641E-2</v>
      </c>
      <c r="S184" s="189">
        <f t="shared" si="37"/>
        <v>0.15827338129496402</v>
      </c>
      <c r="T184" s="189">
        <f t="shared" si="38"/>
        <v>7.1942446043165471E-3</v>
      </c>
      <c r="U184" s="189">
        <f t="shared" si="39"/>
        <v>2.1582733812949641E-2</v>
      </c>
      <c r="V184" s="189">
        <f t="shared" si="40"/>
        <v>2.8776978417266189E-2</v>
      </c>
      <c r="W184" s="189">
        <f t="shared" si="41"/>
        <v>0.14388489208633093</v>
      </c>
      <c r="X184" s="189">
        <f t="shared" si="42"/>
        <v>0.1079136690647482</v>
      </c>
      <c r="Y184" s="189">
        <f t="shared" si="43"/>
        <v>7.1942446043165471E-3</v>
      </c>
      <c r="Z184" s="189">
        <f t="shared" si="44"/>
        <v>5.7553956834532377E-2</v>
      </c>
      <c r="AA184" s="189">
        <f t="shared" si="45"/>
        <v>2.1582733812949641E-2</v>
      </c>
      <c r="AB184" s="189">
        <f t="shared" si="46"/>
        <v>7.1942446043165471E-3</v>
      </c>
      <c r="AC184" s="189">
        <f t="shared" si="47"/>
        <v>3.5971223021582732E-2</v>
      </c>
      <c r="AD184" s="189">
        <f t="shared" si="48"/>
        <v>0.32374100719424459</v>
      </c>
      <c r="AE184" s="189">
        <f t="shared" si="49"/>
        <v>5.7553956834532377E-2</v>
      </c>
      <c r="AF184" s="189">
        <f t="shared" si="36"/>
        <v>7.2996533977523368E-3</v>
      </c>
      <c r="AG184" s="189">
        <f>town_establishments[[#This Row],[share of state establishments]]/($AF$250-$AF$249)</f>
        <v>7.5506545711336841E-3</v>
      </c>
      <c r="AH184" s="189">
        <f>town_establishments[[#This Row],[share of state establishments (no residual)]]/(INDEX(regional_establishments[share of state establishments],MATCH(town_establishments[[#This Row],[Regional Planning Commission]],regional_establishments[Regional Planning Commission],0)))</f>
        <v>7.8177727784026985E-2</v>
      </c>
    </row>
    <row r="185" spans="1:34" x14ac:dyDescent="0.25">
      <c r="A185" t="s">
        <v>395</v>
      </c>
      <c r="B185" t="str">
        <f>INDEX(town_population[Regional Planning Commission],MATCH(town_establishments[[#This Row],[Municipality]],town_population[Municipality],0))</f>
        <v>Addison County Regional Planning Commission</v>
      </c>
      <c r="C185">
        <v>5</v>
      </c>
      <c r="D185">
        <v>4</v>
      </c>
      <c r="E185">
        <v>5</v>
      </c>
      <c r="F185">
        <v>2</v>
      </c>
      <c r="H185">
        <v>2</v>
      </c>
      <c r="I185">
        <v>9</v>
      </c>
      <c r="K185">
        <v>3</v>
      </c>
      <c r="L185">
        <v>1</v>
      </c>
      <c r="M185">
        <v>2</v>
      </c>
      <c r="O185">
        <v>2</v>
      </c>
      <c r="P185">
        <v>3</v>
      </c>
      <c r="Q185">
        <f t="shared" si="34"/>
        <v>38</v>
      </c>
      <c r="R185" s="189">
        <f t="shared" si="35"/>
        <v>0.13157894736842105</v>
      </c>
      <c r="S185" s="189">
        <f t="shared" si="37"/>
        <v>0.10526315789473684</v>
      </c>
      <c r="T185" s="189">
        <f t="shared" si="38"/>
        <v>0.13157894736842105</v>
      </c>
      <c r="U185" s="189">
        <f t="shared" si="39"/>
        <v>5.2631578947368418E-2</v>
      </c>
      <c r="V185" s="189">
        <f t="shared" si="40"/>
        <v>0</v>
      </c>
      <c r="W185" s="189">
        <f t="shared" si="41"/>
        <v>5.2631578947368418E-2</v>
      </c>
      <c r="X185" s="189">
        <f t="shared" si="42"/>
        <v>0.23684210526315788</v>
      </c>
      <c r="Y185" s="189">
        <f t="shared" si="43"/>
        <v>0</v>
      </c>
      <c r="Z185" s="189">
        <f t="shared" si="44"/>
        <v>7.8947368421052627E-2</v>
      </c>
      <c r="AA185" s="189">
        <f t="shared" si="45"/>
        <v>2.6315789473684209E-2</v>
      </c>
      <c r="AB185" s="189">
        <f t="shared" si="46"/>
        <v>5.2631578947368418E-2</v>
      </c>
      <c r="AC185" s="189">
        <f t="shared" si="47"/>
        <v>0</v>
      </c>
      <c r="AD185" s="189">
        <f t="shared" si="48"/>
        <v>5.2631578947368418E-2</v>
      </c>
      <c r="AE185" s="189">
        <f t="shared" si="49"/>
        <v>7.8947368421052627E-2</v>
      </c>
      <c r="AF185" s="189">
        <f t="shared" si="36"/>
        <v>1.9955886986661067E-3</v>
      </c>
      <c r="AG185" s="189">
        <f>town_establishments[[#This Row],[share of state establishments]]/($AF$250-$AF$249)</f>
        <v>2.0642077244825904E-3</v>
      </c>
      <c r="AH185" s="189">
        <f>town_establishments[[#This Row],[share of state establishments (no residual)]]/(INDEX(regional_establishments[share of state establishments],MATCH(town_establishments[[#This Row],[Regional Planning Commission]],regional_establishments[Regional Planning Commission],0)))</f>
        <v>4.0598290598290607E-2</v>
      </c>
    </row>
    <row r="186" spans="1:34" x14ac:dyDescent="0.25">
      <c r="A186" t="s">
        <v>396</v>
      </c>
      <c r="B186" t="str">
        <f>INDEX(town_population[Regional Planning Commission],MATCH(town_establishments[[#This Row],[Municipality]],town_population[Municipality],0))</f>
        <v>Rutland Regional Planning Commission</v>
      </c>
      <c r="C186">
        <v>2</v>
      </c>
      <c r="D186">
        <v>2</v>
      </c>
      <c r="E186">
        <v>1</v>
      </c>
      <c r="H186">
        <v>1</v>
      </c>
      <c r="I186">
        <v>5</v>
      </c>
      <c r="K186">
        <v>6</v>
      </c>
      <c r="L186">
        <v>1</v>
      </c>
      <c r="M186">
        <v>2</v>
      </c>
      <c r="O186">
        <v>2</v>
      </c>
      <c r="P186">
        <v>2</v>
      </c>
      <c r="Q186">
        <f t="shared" si="34"/>
        <v>24</v>
      </c>
      <c r="R186" s="189">
        <f t="shared" si="35"/>
        <v>8.3333333333333329E-2</v>
      </c>
      <c r="S186" s="189">
        <f t="shared" si="37"/>
        <v>8.3333333333333329E-2</v>
      </c>
      <c r="T186" s="189">
        <f t="shared" si="38"/>
        <v>4.1666666666666664E-2</v>
      </c>
      <c r="U186" s="189">
        <f t="shared" si="39"/>
        <v>0</v>
      </c>
      <c r="V186" s="189">
        <f t="shared" si="40"/>
        <v>0</v>
      </c>
      <c r="W186" s="189">
        <f t="shared" si="41"/>
        <v>4.1666666666666664E-2</v>
      </c>
      <c r="X186" s="189">
        <f t="shared" si="42"/>
        <v>0.20833333333333334</v>
      </c>
      <c r="Y186" s="189">
        <f t="shared" si="43"/>
        <v>0</v>
      </c>
      <c r="Z186" s="189">
        <f t="shared" si="44"/>
        <v>0.25</v>
      </c>
      <c r="AA186" s="189">
        <f t="shared" si="45"/>
        <v>4.1666666666666664E-2</v>
      </c>
      <c r="AB186" s="189">
        <f t="shared" si="46"/>
        <v>8.3333333333333329E-2</v>
      </c>
      <c r="AC186" s="189">
        <f t="shared" si="47"/>
        <v>0</v>
      </c>
      <c r="AD186" s="189">
        <f t="shared" si="48"/>
        <v>8.3333333333333329E-2</v>
      </c>
      <c r="AE186" s="189">
        <f t="shared" si="49"/>
        <v>8.3333333333333329E-2</v>
      </c>
      <c r="AF186" s="189">
        <f t="shared" si="36"/>
        <v>1.2603718096838568E-3</v>
      </c>
      <c r="AG186" s="189">
        <f>town_establishments[[#This Row],[share of state establishments]]/($AF$250-$AF$249)</f>
        <v>1.3037101417784779E-3</v>
      </c>
      <c r="AH186" s="189">
        <f>town_establishments[[#This Row],[share of state establishments (no residual)]]/(INDEX(regional_establishments[share of state establishments],MATCH(town_establishments[[#This Row],[Regional Planning Commission]],regional_establishments[Regional Planning Commission],0)))</f>
        <v>1.3498312710911134E-2</v>
      </c>
    </row>
    <row r="187" spans="1:34" x14ac:dyDescent="0.25">
      <c r="A187" t="s">
        <v>398</v>
      </c>
      <c r="B187" t="str">
        <f>INDEX(town_population[Regional Planning Commission],MATCH(town_establishments[[#This Row],[Municipality]],town_population[Municipality],0))</f>
        <v>Chittenden County Regional Planning Commission</v>
      </c>
      <c r="C187">
        <v>61</v>
      </c>
      <c r="D187">
        <v>166</v>
      </c>
      <c r="E187">
        <v>31</v>
      </c>
      <c r="F187">
        <v>29</v>
      </c>
      <c r="G187">
        <v>66</v>
      </c>
      <c r="H187">
        <v>63</v>
      </c>
      <c r="I187">
        <v>171</v>
      </c>
      <c r="J187">
        <v>12</v>
      </c>
      <c r="K187">
        <v>76</v>
      </c>
      <c r="L187">
        <v>21</v>
      </c>
      <c r="M187">
        <v>127</v>
      </c>
      <c r="N187">
        <v>17</v>
      </c>
      <c r="O187">
        <v>87</v>
      </c>
      <c r="P187">
        <v>115</v>
      </c>
      <c r="Q187">
        <f t="shared" si="34"/>
        <v>1042</v>
      </c>
      <c r="R187" s="189">
        <f t="shared" si="35"/>
        <v>5.8541266794625721E-2</v>
      </c>
      <c r="S187" s="189">
        <f t="shared" si="37"/>
        <v>0.15930902111324377</v>
      </c>
      <c r="T187" s="189">
        <f t="shared" si="38"/>
        <v>2.9750479846449136E-2</v>
      </c>
      <c r="U187" s="189">
        <f t="shared" si="39"/>
        <v>2.7831094049904029E-2</v>
      </c>
      <c r="V187" s="189">
        <f t="shared" si="40"/>
        <v>6.3339731285988479E-2</v>
      </c>
      <c r="W187" s="189">
        <f t="shared" si="41"/>
        <v>6.0460652591170824E-2</v>
      </c>
      <c r="X187" s="189">
        <f t="shared" si="42"/>
        <v>0.16410748560460653</v>
      </c>
      <c r="Y187" s="189">
        <f t="shared" si="43"/>
        <v>1.1516314779270634E-2</v>
      </c>
      <c r="Z187" s="189">
        <f t="shared" si="44"/>
        <v>7.293666026871401E-2</v>
      </c>
      <c r="AA187" s="189">
        <f t="shared" si="45"/>
        <v>2.0153550863723609E-2</v>
      </c>
      <c r="AB187" s="189">
        <f t="shared" si="46"/>
        <v>0.1218809980806142</v>
      </c>
      <c r="AC187" s="189">
        <f t="shared" si="47"/>
        <v>1.6314779270633396E-2</v>
      </c>
      <c r="AD187" s="189">
        <f t="shared" si="48"/>
        <v>8.3493282149712092E-2</v>
      </c>
      <c r="AE187" s="189">
        <f t="shared" si="49"/>
        <v>0.11036468330134357</v>
      </c>
      <c r="AF187" s="189">
        <f t="shared" si="36"/>
        <v>5.4721142737107445E-2</v>
      </c>
      <c r="AG187" s="189">
        <f>town_establishments[[#This Row],[share of state establishments]]/($AF$250-$AF$249)</f>
        <v>5.6602748655548915E-2</v>
      </c>
      <c r="AH187" s="189">
        <f>town_establishments[[#This Row],[share of state establishments (no residual)]]/(INDEX(regional_establishments[share of state establishments],MATCH(town_establishments[[#This Row],[Regional Planning Commission]],regional_establishments[Regional Planning Commission],0)))</f>
        <v>0.19228639970474259</v>
      </c>
    </row>
    <row r="188" spans="1:34" x14ac:dyDescent="0.25">
      <c r="A188" t="s">
        <v>399</v>
      </c>
      <c r="B188" t="str">
        <f>INDEX(town_population[Regional Planning Commission],MATCH(town_establishments[[#This Row],[Municipality]],town_population[Municipality],0))</f>
        <v>Northwest Regional Planning Commission</v>
      </c>
      <c r="C188">
        <v>1</v>
      </c>
      <c r="D188">
        <v>11</v>
      </c>
      <c r="E188">
        <v>1</v>
      </c>
      <c r="F188">
        <v>3</v>
      </c>
      <c r="G188">
        <v>2</v>
      </c>
      <c r="H188">
        <v>3</v>
      </c>
      <c r="I188">
        <v>7</v>
      </c>
      <c r="K188">
        <v>1</v>
      </c>
      <c r="L188">
        <v>1</v>
      </c>
      <c r="M188">
        <v>2</v>
      </c>
      <c r="O188">
        <v>9</v>
      </c>
      <c r="P188">
        <v>3</v>
      </c>
      <c r="Q188">
        <f t="shared" si="34"/>
        <v>44</v>
      </c>
      <c r="R188" s="189">
        <f t="shared" si="35"/>
        <v>2.2727272727272728E-2</v>
      </c>
      <c r="S188" s="189">
        <f t="shared" si="37"/>
        <v>0.25</v>
      </c>
      <c r="T188" s="189">
        <f t="shared" si="38"/>
        <v>2.2727272727272728E-2</v>
      </c>
      <c r="U188" s="189">
        <f t="shared" si="39"/>
        <v>6.8181818181818177E-2</v>
      </c>
      <c r="V188" s="189">
        <f t="shared" si="40"/>
        <v>4.5454545454545456E-2</v>
      </c>
      <c r="W188" s="189">
        <f t="shared" si="41"/>
        <v>6.8181818181818177E-2</v>
      </c>
      <c r="X188" s="189">
        <f t="shared" si="42"/>
        <v>0.15909090909090909</v>
      </c>
      <c r="Y188" s="189">
        <f t="shared" si="43"/>
        <v>0</v>
      </c>
      <c r="Z188" s="189">
        <f t="shared" si="44"/>
        <v>2.2727272727272728E-2</v>
      </c>
      <c r="AA188" s="189">
        <f t="shared" si="45"/>
        <v>2.2727272727272728E-2</v>
      </c>
      <c r="AB188" s="189">
        <f t="shared" si="46"/>
        <v>4.5454545454545456E-2</v>
      </c>
      <c r="AC188" s="189">
        <f t="shared" si="47"/>
        <v>0</v>
      </c>
      <c r="AD188" s="189">
        <f t="shared" si="48"/>
        <v>0.20454545454545456</v>
      </c>
      <c r="AE188" s="189">
        <f t="shared" si="49"/>
        <v>6.8181818181818177E-2</v>
      </c>
      <c r="AF188" s="189">
        <f t="shared" si="36"/>
        <v>2.3106816510870707E-3</v>
      </c>
      <c r="AG188" s="189">
        <f>town_establishments[[#This Row],[share of state establishments]]/($AF$250-$AF$249)</f>
        <v>2.3901352599272094E-3</v>
      </c>
      <c r="AH188" s="189">
        <f>town_establishments[[#This Row],[share of state establishments (no residual)]]/(INDEX(regional_establishments[share of state establishments],MATCH(town_establishments[[#This Row],[Regional Planning Commission]],regional_establishments[Regional Planning Commission],0)))</f>
        <v>4.3052837573385523E-2</v>
      </c>
    </row>
    <row r="189" spans="1:34" x14ac:dyDescent="0.25">
      <c r="A189" t="s">
        <v>400</v>
      </c>
      <c r="B189" t="str">
        <f>INDEX(town_population[Regional Planning Commission],MATCH(town_establishments[[#This Row],[Municipality]],town_population[Municipality],0))</f>
        <v>Southern Windsor County Regional Planning Commission</v>
      </c>
      <c r="C189">
        <v>15</v>
      </c>
      <c r="D189">
        <v>39</v>
      </c>
      <c r="E189">
        <v>4</v>
      </c>
      <c r="F189">
        <v>9</v>
      </c>
      <c r="G189">
        <v>13</v>
      </c>
      <c r="H189">
        <v>7</v>
      </c>
      <c r="I189">
        <v>34</v>
      </c>
      <c r="K189">
        <v>13</v>
      </c>
      <c r="L189">
        <v>4</v>
      </c>
      <c r="M189">
        <v>37</v>
      </c>
      <c r="N189">
        <v>5</v>
      </c>
      <c r="O189">
        <v>22</v>
      </c>
      <c r="P189">
        <v>22</v>
      </c>
      <c r="Q189">
        <f t="shared" si="34"/>
        <v>224</v>
      </c>
      <c r="R189" s="189">
        <f t="shared" si="35"/>
        <v>6.6964285714285712E-2</v>
      </c>
      <c r="S189" s="189">
        <f t="shared" si="37"/>
        <v>0.17410714285714285</v>
      </c>
      <c r="T189" s="189">
        <f t="shared" si="38"/>
        <v>1.7857142857142856E-2</v>
      </c>
      <c r="U189" s="189">
        <f t="shared" si="39"/>
        <v>4.0178571428571432E-2</v>
      </c>
      <c r="V189" s="189">
        <f t="shared" si="40"/>
        <v>5.8035714285714288E-2</v>
      </c>
      <c r="W189" s="189">
        <f t="shared" si="41"/>
        <v>3.125E-2</v>
      </c>
      <c r="X189" s="189">
        <f t="shared" si="42"/>
        <v>0.15178571428571427</v>
      </c>
      <c r="Y189" s="189">
        <f t="shared" si="43"/>
        <v>0</v>
      </c>
      <c r="Z189" s="189">
        <f t="shared" si="44"/>
        <v>5.8035714285714288E-2</v>
      </c>
      <c r="AA189" s="189">
        <f t="shared" si="45"/>
        <v>1.7857142857142856E-2</v>
      </c>
      <c r="AB189" s="189">
        <f t="shared" si="46"/>
        <v>0.16517857142857142</v>
      </c>
      <c r="AC189" s="189">
        <f t="shared" si="47"/>
        <v>2.2321428571428572E-2</v>
      </c>
      <c r="AD189" s="189">
        <f t="shared" si="48"/>
        <v>9.8214285714285712E-2</v>
      </c>
      <c r="AE189" s="189">
        <f t="shared" si="49"/>
        <v>9.8214285714285712E-2</v>
      </c>
      <c r="AF189" s="189">
        <f t="shared" si="36"/>
        <v>1.1763470223715997E-2</v>
      </c>
      <c r="AG189" s="189">
        <f>town_establishments[[#This Row],[share of state establishments]]/($AF$250-$AF$249)</f>
        <v>1.2167961323265794E-2</v>
      </c>
      <c r="AH189" s="189">
        <f>town_establishments[[#This Row],[share of state establishments (no residual)]]/(INDEX(regional_establishments[share of state establishments],MATCH(town_establishments[[#This Row],[Regional Planning Commission]],regional_establishments[Regional Planning Commission],0)))</f>
        <v>0.35555555555555568</v>
      </c>
    </row>
    <row r="190" spans="1:34" x14ac:dyDescent="0.25">
      <c r="A190" t="s">
        <v>404</v>
      </c>
      <c r="B190" t="str">
        <f>INDEX(town_population[Regional Planning Commission],MATCH(town_establishments[[#This Row],[Municipality]],town_population[Municipality],0))</f>
        <v>Bennington County Regional Commission</v>
      </c>
      <c r="C190">
        <v>2</v>
      </c>
      <c r="D190">
        <v>2</v>
      </c>
      <c r="E190">
        <v>4</v>
      </c>
      <c r="I190">
        <v>5</v>
      </c>
      <c r="K190">
        <v>2</v>
      </c>
      <c r="L190">
        <v>1</v>
      </c>
      <c r="N190">
        <v>1</v>
      </c>
      <c r="Q190">
        <f t="shared" si="34"/>
        <v>17</v>
      </c>
      <c r="R190" s="189">
        <f t="shared" si="35"/>
        <v>0.11764705882352941</v>
      </c>
      <c r="S190" s="189">
        <f t="shared" si="37"/>
        <v>0.11764705882352941</v>
      </c>
      <c r="T190" s="189">
        <f t="shared" si="38"/>
        <v>0.23529411764705882</v>
      </c>
      <c r="U190" s="189">
        <f t="shared" si="39"/>
        <v>0</v>
      </c>
      <c r="V190" s="189">
        <f t="shared" si="40"/>
        <v>0</v>
      </c>
      <c r="W190" s="189">
        <f t="shared" si="41"/>
        <v>0</v>
      </c>
      <c r="X190" s="189">
        <f t="shared" si="42"/>
        <v>0.29411764705882354</v>
      </c>
      <c r="Y190" s="189">
        <f t="shared" si="43"/>
        <v>0</v>
      </c>
      <c r="Z190" s="189">
        <f t="shared" si="44"/>
        <v>0.11764705882352941</v>
      </c>
      <c r="AA190" s="189">
        <f t="shared" si="45"/>
        <v>5.8823529411764705E-2</v>
      </c>
      <c r="AB190" s="189">
        <f t="shared" si="46"/>
        <v>0</v>
      </c>
      <c r="AC190" s="189">
        <f t="shared" si="47"/>
        <v>5.8823529411764705E-2</v>
      </c>
      <c r="AD190" s="189">
        <f t="shared" si="48"/>
        <v>0</v>
      </c>
      <c r="AE190" s="189">
        <f t="shared" si="49"/>
        <v>0</v>
      </c>
      <c r="AF190" s="189">
        <f t="shared" si="36"/>
        <v>8.9276336519273183E-4</v>
      </c>
      <c r="AG190" s="189">
        <f>town_establishments[[#This Row],[share of state establishments]]/($AF$250-$AF$249)</f>
        <v>9.2346135042642181E-4</v>
      </c>
      <c r="AH190" s="189">
        <f>town_establishments[[#This Row],[share of state establishments (no residual)]]/(INDEX(regional_establishments[share of state establishments],MATCH(town_establishments[[#This Row],[Regional Planning Commission]],regional_establishments[Regional Planning Commission],0)))</f>
        <v>1.482127288578901E-2</v>
      </c>
    </row>
    <row r="191" spans="1:34" x14ac:dyDescent="0.25">
      <c r="A191" t="s">
        <v>405</v>
      </c>
      <c r="B191" t="str">
        <f>INDEX(town_population[Regional Planning Commission],MATCH(town_establishments[[#This Row],[Municipality]],town_population[Municipality],0))</f>
        <v>Northeastern Vermont Development Association</v>
      </c>
      <c r="D191">
        <v>1</v>
      </c>
      <c r="I191">
        <v>1</v>
      </c>
      <c r="Q191">
        <f t="shared" si="34"/>
        <v>2</v>
      </c>
      <c r="R191" s="189">
        <f t="shared" si="35"/>
        <v>0</v>
      </c>
      <c r="S191" s="189">
        <f t="shared" si="37"/>
        <v>0.5</v>
      </c>
      <c r="T191" s="189">
        <f t="shared" si="38"/>
        <v>0</v>
      </c>
      <c r="U191" s="189">
        <f t="shared" si="39"/>
        <v>0</v>
      </c>
      <c r="V191" s="189">
        <f t="shared" si="40"/>
        <v>0</v>
      </c>
      <c r="W191" s="189">
        <f t="shared" si="41"/>
        <v>0</v>
      </c>
      <c r="X191" s="189">
        <f t="shared" si="42"/>
        <v>0.5</v>
      </c>
      <c r="Y191" s="189">
        <f t="shared" si="43"/>
        <v>0</v>
      </c>
      <c r="Z191" s="189">
        <f t="shared" si="44"/>
        <v>0</v>
      </c>
      <c r="AA191" s="189">
        <f t="shared" si="45"/>
        <v>0</v>
      </c>
      <c r="AB191" s="189">
        <f t="shared" si="46"/>
        <v>0</v>
      </c>
      <c r="AC191" s="189">
        <f t="shared" si="47"/>
        <v>0</v>
      </c>
      <c r="AD191" s="189">
        <f t="shared" si="48"/>
        <v>0</v>
      </c>
      <c r="AE191" s="189">
        <f t="shared" si="49"/>
        <v>0</v>
      </c>
      <c r="AF191" s="189">
        <f t="shared" si="36"/>
        <v>1.0503098414032139E-4</v>
      </c>
      <c r="AG191" s="189">
        <f>town_establishments[[#This Row],[share of state establishments]]/($AF$250-$AF$249)</f>
        <v>1.0864251181487315E-4</v>
      </c>
      <c r="AH191" s="189">
        <f>town_establishments[[#This Row],[share of state establishments (no residual)]]/(INDEX(regional_establishments[share of state establishments],MATCH(town_establishments[[#This Row],[Regional Planning Commission]],regional_establishments[Regional Planning Commission],0)))</f>
        <v>1.3708019191226866E-3</v>
      </c>
    </row>
    <row r="192" spans="1:34" x14ac:dyDescent="0.25">
      <c r="A192" t="s">
        <v>406</v>
      </c>
      <c r="B192" t="str">
        <f>INDEX(town_population[Regional Planning Commission],MATCH(town_establishments[[#This Row],[Municipality]],town_population[Municipality],0))</f>
        <v>Addison County Regional Planning Commission</v>
      </c>
      <c r="C192">
        <v>7</v>
      </c>
      <c r="E192">
        <v>1</v>
      </c>
      <c r="I192">
        <v>5</v>
      </c>
      <c r="L192">
        <v>1</v>
      </c>
      <c r="M192">
        <v>2</v>
      </c>
      <c r="O192">
        <v>2</v>
      </c>
      <c r="Q192">
        <f t="shared" si="34"/>
        <v>18</v>
      </c>
      <c r="R192" s="189">
        <f t="shared" si="35"/>
        <v>0.3888888888888889</v>
      </c>
      <c r="S192" s="189">
        <f t="shared" si="37"/>
        <v>0</v>
      </c>
      <c r="T192" s="189">
        <f t="shared" si="38"/>
        <v>5.5555555555555552E-2</v>
      </c>
      <c r="U192" s="189">
        <f t="shared" si="39"/>
        <v>0</v>
      </c>
      <c r="V192" s="189">
        <f t="shared" si="40"/>
        <v>0</v>
      </c>
      <c r="W192" s="189">
        <f t="shared" si="41"/>
        <v>0</v>
      </c>
      <c r="X192" s="189">
        <f t="shared" si="42"/>
        <v>0.27777777777777779</v>
      </c>
      <c r="Y192" s="189">
        <f t="shared" si="43"/>
        <v>0</v>
      </c>
      <c r="Z192" s="189">
        <f t="shared" si="44"/>
        <v>0</v>
      </c>
      <c r="AA192" s="189">
        <f t="shared" si="45"/>
        <v>5.5555555555555552E-2</v>
      </c>
      <c r="AB192" s="189">
        <f t="shared" si="46"/>
        <v>0.1111111111111111</v>
      </c>
      <c r="AC192" s="189">
        <f t="shared" si="47"/>
        <v>0</v>
      </c>
      <c r="AD192" s="189">
        <f t="shared" si="48"/>
        <v>0.1111111111111111</v>
      </c>
      <c r="AE192" s="189">
        <f t="shared" si="49"/>
        <v>0</v>
      </c>
      <c r="AF192" s="189">
        <f t="shared" si="36"/>
        <v>9.4527885726289253E-4</v>
      </c>
      <c r="AG192" s="189">
        <f>town_establishments[[#This Row],[share of state establishments]]/($AF$250-$AF$249)</f>
        <v>9.7778260633385851E-4</v>
      </c>
      <c r="AH192" s="189">
        <f>town_establishments[[#This Row],[share of state establishments (no residual)]]/(INDEX(regional_establishments[share of state establishments],MATCH(town_establishments[[#This Row],[Regional Planning Commission]],regional_establishments[Regional Planning Commission],0)))</f>
        <v>1.9230769230769235E-2</v>
      </c>
    </row>
    <row r="193" spans="1:34" x14ac:dyDescent="0.25">
      <c r="A193" t="s">
        <v>407</v>
      </c>
      <c r="B193" t="str">
        <f>INDEX(town_population[Regional Planning Commission],MATCH(town_establishments[[#This Row],[Municipality]],town_population[Municipality],0))</f>
        <v>Two Rivers-Ottauquechee Regional Commission</v>
      </c>
      <c r="C193">
        <v>1</v>
      </c>
      <c r="D193">
        <v>1</v>
      </c>
      <c r="E193">
        <v>2</v>
      </c>
      <c r="H193">
        <v>1</v>
      </c>
      <c r="I193">
        <v>3</v>
      </c>
      <c r="K193">
        <v>3</v>
      </c>
      <c r="L193">
        <v>1</v>
      </c>
      <c r="M193">
        <v>1</v>
      </c>
      <c r="N193">
        <v>1</v>
      </c>
      <c r="P193">
        <v>2</v>
      </c>
      <c r="Q193">
        <f t="shared" si="34"/>
        <v>16</v>
      </c>
      <c r="R193" s="189">
        <f t="shared" si="35"/>
        <v>6.25E-2</v>
      </c>
      <c r="S193" s="189">
        <f t="shared" si="37"/>
        <v>6.25E-2</v>
      </c>
      <c r="T193" s="189">
        <f t="shared" si="38"/>
        <v>0.125</v>
      </c>
      <c r="U193" s="189">
        <f t="shared" si="39"/>
        <v>0</v>
      </c>
      <c r="V193" s="189">
        <f t="shared" si="40"/>
        <v>0</v>
      </c>
      <c r="W193" s="189">
        <f t="shared" si="41"/>
        <v>6.25E-2</v>
      </c>
      <c r="X193" s="189">
        <f t="shared" si="42"/>
        <v>0.1875</v>
      </c>
      <c r="Y193" s="189">
        <f t="shared" si="43"/>
        <v>0</v>
      </c>
      <c r="Z193" s="189">
        <f t="shared" si="44"/>
        <v>0.1875</v>
      </c>
      <c r="AA193" s="189">
        <f t="shared" si="45"/>
        <v>6.25E-2</v>
      </c>
      <c r="AB193" s="189">
        <f t="shared" si="46"/>
        <v>6.25E-2</v>
      </c>
      <c r="AC193" s="189">
        <f t="shared" si="47"/>
        <v>6.25E-2</v>
      </c>
      <c r="AD193" s="189">
        <f t="shared" si="48"/>
        <v>0</v>
      </c>
      <c r="AE193" s="189">
        <f t="shared" si="49"/>
        <v>0.125</v>
      </c>
      <c r="AF193" s="189">
        <f t="shared" si="36"/>
        <v>8.4024787312257112E-4</v>
      </c>
      <c r="AG193" s="189">
        <f>town_establishments[[#This Row],[share of state establishments]]/($AF$250-$AF$249)</f>
        <v>8.6914009451898521E-4</v>
      </c>
      <c r="AH193" s="189">
        <f>town_establishments[[#This Row],[share of state establishments (no residual)]]/(INDEX(regional_establishments[share of state establishments],MATCH(town_establishments[[#This Row],[Regional Planning Commission]],regional_establishments[Regional Planning Commission],0)))</f>
        <v>9.876543209876543E-3</v>
      </c>
    </row>
    <row r="194" spans="1:34" x14ac:dyDescent="0.25">
      <c r="A194" t="s">
        <v>408</v>
      </c>
      <c r="B194" t="str">
        <f>INDEX(town_population[Regional Planning Commission],MATCH(town_establishments[[#This Row],[Municipality]],town_population[Municipality],0))</f>
        <v>Lamoille County Planning Commission</v>
      </c>
      <c r="C194">
        <v>20</v>
      </c>
      <c r="D194">
        <v>55</v>
      </c>
      <c r="E194">
        <v>4</v>
      </c>
      <c r="F194">
        <v>7</v>
      </c>
      <c r="G194">
        <v>13</v>
      </c>
      <c r="H194">
        <v>25</v>
      </c>
      <c r="I194">
        <v>54</v>
      </c>
      <c r="J194">
        <v>3</v>
      </c>
      <c r="K194">
        <v>25</v>
      </c>
      <c r="L194">
        <v>6</v>
      </c>
      <c r="M194">
        <v>22</v>
      </c>
      <c r="N194">
        <v>11</v>
      </c>
      <c r="O194">
        <v>64</v>
      </c>
      <c r="P194">
        <v>28</v>
      </c>
      <c r="Q194">
        <f t="shared" si="34"/>
        <v>337</v>
      </c>
      <c r="R194" s="189">
        <f t="shared" si="35"/>
        <v>5.9347181008902079E-2</v>
      </c>
      <c r="S194" s="189">
        <f t="shared" si="37"/>
        <v>0.16320474777448071</v>
      </c>
      <c r="T194" s="189">
        <f t="shared" si="38"/>
        <v>1.1869436201780416E-2</v>
      </c>
      <c r="U194" s="189">
        <f t="shared" si="39"/>
        <v>2.0771513353115726E-2</v>
      </c>
      <c r="V194" s="189">
        <f t="shared" si="40"/>
        <v>3.857566765578635E-2</v>
      </c>
      <c r="W194" s="189">
        <f t="shared" si="41"/>
        <v>7.418397626112759E-2</v>
      </c>
      <c r="X194" s="189">
        <f t="shared" si="42"/>
        <v>0.16023738872403562</v>
      </c>
      <c r="Y194" s="189">
        <f t="shared" si="43"/>
        <v>8.9020771513353119E-3</v>
      </c>
      <c r="Z194" s="189">
        <f t="shared" si="44"/>
        <v>7.418397626112759E-2</v>
      </c>
      <c r="AA194" s="189">
        <f t="shared" si="45"/>
        <v>1.7804154302670624E-2</v>
      </c>
      <c r="AB194" s="189">
        <f t="shared" si="46"/>
        <v>6.5281899109792291E-2</v>
      </c>
      <c r="AC194" s="189">
        <f t="shared" si="47"/>
        <v>3.2640949554896145E-2</v>
      </c>
      <c r="AD194" s="189">
        <f t="shared" si="48"/>
        <v>0.18991097922848665</v>
      </c>
      <c r="AE194" s="189">
        <f t="shared" si="49"/>
        <v>8.3086053412462904E-2</v>
      </c>
      <c r="AF194" s="189">
        <f t="shared" si="36"/>
        <v>1.7697720827644155E-2</v>
      </c>
      <c r="AG194" s="189">
        <f>town_establishments[[#This Row],[share of state establishments]]/($AF$250-$AF$249)</f>
        <v>1.8306263240806128E-2</v>
      </c>
      <c r="AH194" s="189">
        <f>town_establishments[[#This Row],[share of state establishments (no residual)]]/(INDEX(regional_establishments[share of state establishments],MATCH(town_establishments[[#This Row],[Regional Planning Commission]],regional_establishments[Regional Planning Commission],0)))</f>
        <v>0.41299019607843135</v>
      </c>
    </row>
    <row r="195" spans="1:34" x14ac:dyDescent="0.25">
      <c r="A195" t="s">
        <v>409</v>
      </c>
      <c r="B195" t="str">
        <f>INDEX(town_population[Regional Planning Commission],MATCH(town_establishments[[#This Row],[Municipality]],town_population[Municipality],0))</f>
        <v>Two Rivers-Ottauquechee Regional Commission</v>
      </c>
      <c r="C195">
        <v>3</v>
      </c>
      <c r="D195">
        <v>2</v>
      </c>
      <c r="E195">
        <v>2</v>
      </c>
      <c r="F195">
        <v>0</v>
      </c>
      <c r="G195">
        <v>0</v>
      </c>
      <c r="H195">
        <v>1</v>
      </c>
      <c r="I195">
        <v>7</v>
      </c>
      <c r="K195">
        <v>5</v>
      </c>
      <c r="L195">
        <v>1</v>
      </c>
      <c r="M195">
        <v>1</v>
      </c>
      <c r="N195">
        <v>1</v>
      </c>
      <c r="O195">
        <v>2</v>
      </c>
      <c r="P195">
        <v>4</v>
      </c>
      <c r="Q195">
        <f t="shared" si="34"/>
        <v>29</v>
      </c>
      <c r="R195" s="189">
        <f t="shared" si="35"/>
        <v>0.10344827586206896</v>
      </c>
      <c r="S195" s="189">
        <f t="shared" si="37"/>
        <v>6.8965517241379309E-2</v>
      </c>
      <c r="T195" s="189">
        <f t="shared" si="38"/>
        <v>6.8965517241379309E-2</v>
      </c>
      <c r="U195" s="189">
        <f t="shared" si="39"/>
        <v>0</v>
      </c>
      <c r="V195" s="189">
        <f t="shared" si="40"/>
        <v>0</v>
      </c>
      <c r="W195" s="189">
        <f t="shared" si="41"/>
        <v>3.4482758620689655E-2</v>
      </c>
      <c r="X195" s="189">
        <f t="shared" si="42"/>
        <v>0.2413793103448276</v>
      </c>
      <c r="Y195" s="189">
        <f t="shared" si="43"/>
        <v>0</v>
      </c>
      <c r="Z195" s="189">
        <f t="shared" si="44"/>
        <v>0.17241379310344829</v>
      </c>
      <c r="AA195" s="189">
        <f t="shared" si="45"/>
        <v>3.4482758620689655E-2</v>
      </c>
      <c r="AB195" s="189">
        <f t="shared" si="46"/>
        <v>3.4482758620689655E-2</v>
      </c>
      <c r="AC195" s="189">
        <f t="shared" si="47"/>
        <v>3.4482758620689655E-2</v>
      </c>
      <c r="AD195" s="189">
        <f t="shared" si="48"/>
        <v>6.8965517241379309E-2</v>
      </c>
      <c r="AE195" s="189">
        <f t="shared" si="49"/>
        <v>0.13793103448275862</v>
      </c>
      <c r="AF195" s="189">
        <f t="shared" si="36"/>
        <v>1.5229492700346602E-3</v>
      </c>
      <c r="AG195" s="189">
        <f>town_establishments[[#This Row],[share of state establishments]]/($AF$250-$AF$249)</f>
        <v>1.5753164213156607E-3</v>
      </c>
      <c r="AH195" s="189">
        <f>town_establishments[[#This Row],[share of state establishments (no residual)]]/(INDEX(regional_establishments[share of state establishments],MATCH(town_establishments[[#This Row],[Regional Planning Commission]],regional_establishments[Regional Planning Commission],0)))</f>
        <v>1.7901234567901235E-2</v>
      </c>
    </row>
    <row r="196" spans="1:34" x14ac:dyDescent="0.25">
      <c r="A196" t="s">
        <v>410</v>
      </c>
      <c r="B196" t="str">
        <f>INDEX(town_population[Regional Planning Commission],MATCH(town_establishments[[#This Row],[Municipality]],town_population[Municipality],0))</f>
        <v>Windham Regional Commission</v>
      </c>
      <c r="C196">
        <v>1</v>
      </c>
      <c r="D196">
        <v>1</v>
      </c>
      <c r="E196">
        <v>1</v>
      </c>
      <c r="G196">
        <v>1</v>
      </c>
      <c r="H196">
        <v>1</v>
      </c>
      <c r="I196">
        <v>3</v>
      </c>
      <c r="K196">
        <v>1</v>
      </c>
      <c r="L196">
        <v>2</v>
      </c>
      <c r="M196">
        <v>1</v>
      </c>
      <c r="N196">
        <v>1</v>
      </c>
      <c r="O196">
        <v>7</v>
      </c>
      <c r="P196">
        <v>3</v>
      </c>
      <c r="Q196">
        <f t="shared" ref="Q196:Q250" si="50">SUM(C196:P196)</f>
        <v>23</v>
      </c>
      <c r="R196" s="189">
        <f t="shared" ref="R196:R250" si="51">IF($Q196&lt;&gt;0,C196/$Q196,0)</f>
        <v>4.3478260869565216E-2</v>
      </c>
      <c r="S196" s="189">
        <f t="shared" si="37"/>
        <v>4.3478260869565216E-2</v>
      </c>
      <c r="T196" s="189">
        <f t="shared" si="38"/>
        <v>4.3478260869565216E-2</v>
      </c>
      <c r="U196" s="189">
        <f t="shared" si="39"/>
        <v>0</v>
      </c>
      <c r="V196" s="189">
        <f t="shared" si="40"/>
        <v>4.3478260869565216E-2</v>
      </c>
      <c r="W196" s="189">
        <f t="shared" si="41"/>
        <v>4.3478260869565216E-2</v>
      </c>
      <c r="X196" s="189">
        <f t="shared" si="42"/>
        <v>0.13043478260869565</v>
      </c>
      <c r="Y196" s="189">
        <f t="shared" si="43"/>
        <v>0</v>
      </c>
      <c r="Z196" s="189">
        <f t="shared" si="44"/>
        <v>4.3478260869565216E-2</v>
      </c>
      <c r="AA196" s="189">
        <f t="shared" si="45"/>
        <v>8.6956521739130432E-2</v>
      </c>
      <c r="AB196" s="189">
        <f t="shared" si="46"/>
        <v>4.3478260869565216E-2</v>
      </c>
      <c r="AC196" s="189">
        <f t="shared" si="47"/>
        <v>4.3478260869565216E-2</v>
      </c>
      <c r="AD196" s="189">
        <f t="shared" si="48"/>
        <v>0.30434782608695654</v>
      </c>
      <c r="AE196" s="189">
        <f t="shared" si="49"/>
        <v>0.13043478260869565</v>
      </c>
      <c r="AF196" s="189">
        <f t="shared" ref="AF196:AF250" si="52">Q196/Q$250</f>
        <v>1.207856317613696E-3</v>
      </c>
      <c r="AG196" s="189">
        <f>town_establishments[[#This Row],[share of state establishments]]/($AF$250-$AF$249)</f>
        <v>1.2493888858710412E-3</v>
      </c>
      <c r="AH196" s="189">
        <f>town_establishments[[#This Row],[share of state establishments (no residual)]]/(INDEX(regional_establishments[share of state establishments],MATCH(town_establishments[[#This Row],[Regional Planning Commission]],regional_establishments[Regional Planning Commission],0)))</f>
        <v>1.4810045074050223E-2</v>
      </c>
    </row>
    <row r="197" spans="1:34" x14ac:dyDescent="0.25">
      <c r="A197" t="s">
        <v>411</v>
      </c>
      <c r="B197" t="str">
        <f>INDEX(town_population[Regional Planning Commission],MATCH(town_establishments[[#This Row],[Municipality]],town_population[Municipality],0))</f>
        <v>Rutland Regional Planning Commission</v>
      </c>
      <c r="K197">
        <v>1</v>
      </c>
      <c r="L197">
        <v>1</v>
      </c>
      <c r="M197">
        <v>1</v>
      </c>
      <c r="Q197">
        <f t="shared" si="50"/>
        <v>3</v>
      </c>
      <c r="R197" s="189">
        <f t="shared" si="51"/>
        <v>0</v>
      </c>
      <c r="S197" s="189">
        <f t="shared" si="37"/>
        <v>0</v>
      </c>
      <c r="T197" s="189">
        <f t="shared" si="38"/>
        <v>0</v>
      </c>
      <c r="U197" s="189">
        <f t="shared" si="39"/>
        <v>0</v>
      </c>
      <c r="V197" s="189">
        <f t="shared" si="40"/>
        <v>0</v>
      </c>
      <c r="W197" s="189">
        <f t="shared" si="41"/>
        <v>0</v>
      </c>
      <c r="X197" s="189">
        <f t="shared" si="42"/>
        <v>0</v>
      </c>
      <c r="Y197" s="189">
        <f t="shared" si="43"/>
        <v>0</v>
      </c>
      <c r="Z197" s="189">
        <f t="shared" si="44"/>
        <v>0.33333333333333331</v>
      </c>
      <c r="AA197" s="189">
        <f t="shared" si="45"/>
        <v>0.33333333333333331</v>
      </c>
      <c r="AB197" s="189">
        <f t="shared" si="46"/>
        <v>0.33333333333333331</v>
      </c>
      <c r="AC197" s="189">
        <f t="shared" si="47"/>
        <v>0</v>
      </c>
      <c r="AD197" s="189">
        <f t="shared" si="48"/>
        <v>0</v>
      </c>
      <c r="AE197" s="189">
        <f t="shared" si="49"/>
        <v>0</v>
      </c>
      <c r="AF197" s="189">
        <f t="shared" si="52"/>
        <v>1.575464762104821E-4</v>
      </c>
      <c r="AG197" s="189">
        <f>town_establishments[[#This Row],[share of state establishments]]/($AF$250-$AF$249)</f>
        <v>1.6296376772230973E-4</v>
      </c>
      <c r="AH197" s="189">
        <f>town_establishments[[#This Row],[share of state establishments (no residual)]]/(INDEX(regional_establishments[share of state establishments],MATCH(town_establishments[[#This Row],[Regional Planning Commission]],regional_establishments[Regional Planning Commission],0)))</f>
        <v>1.6872890888638917E-3</v>
      </c>
    </row>
    <row r="198" spans="1:34" x14ac:dyDescent="0.25">
      <c r="A198" t="s">
        <v>412</v>
      </c>
      <c r="B198" t="str">
        <f>INDEX(town_population[Regional Planning Commission],MATCH(town_establishments[[#This Row],[Municipality]],town_population[Municipality],0))</f>
        <v>Bennington County Regional Commission</v>
      </c>
      <c r="D198">
        <v>1</v>
      </c>
      <c r="F198">
        <v>3</v>
      </c>
      <c r="I198">
        <v>6</v>
      </c>
      <c r="K198">
        <v>4</v>
      </c>
      <c r="L198">
        <v>2</v>
      </c>
      <c r="N198">
        <v>1</v>
      </c>
      <c r="P198">
        <v>2</v>
      </c>
      <c r="Q198">
        <f t="shared" si="50"/>
        <v>19</v>
      </c>
      <c r="R198" s="189">
        <f t="shared" si="51"/>
        <v>0</v>
      </c>
      <c r="S198" s="189">
        <f t="shared" si="37"/>
        <v>5.2631578947368418E-2</v>
      </c>
      <c r="T198" s="189">
        <f t="shared" si="38"/>
        <v>0</v>
      </c>
      <c r="U198" s="189">
        <f t="shared" si="39"/>
        <v>0.15789473684210525</v>
      </c>
      <c r="V198" s="189">
        <f t="shared" si="40"/>
        <v>0</v>
      </c>
      <c r="W198" s="189">
        <f t="shared" si="41"/>
        <v>0</v>
      </c>
      <c r="X198" s="189">
        <f t="shared" si="42"/>
        <v>0.31578947368421051</v>
      </c>
      <c r="Y198" s="189">
        <f t="shared" si="43"/>
        <v>0</v>
      </c>
      <c r="Z198" s="189">
        <f t="shared" si="44"/>
        <v>0.21052631578947367</v>
      </c>
      <c r="AA198" s="189">
        <f t="shared" si="45"/>
        <v>0.10526315789473684</v>
      </c>
      <c r="AB198" s="189">
        <f t="shared" si="46"/>
        <v>0</v>
      </c>
      <c r="AC198" s="189">
        <f t="shared" si="47"/>
        <v>5.2631578947368418E-2</v>
      </c>
      <c r="AD198" s="189">
        <f t="shared" si="48"/>
        <v>0</v>
      </c>
      <c r="AE198" s="189">
        <f t="shared" si="49"/>
        <v>0.10526315789473684</v>
      </c>
      <c r="AF198" s="189">
        <f t="shared" si="52"/>
        <v>9.9779434933305335E-4</v>
      </c>
      <c r="AG198" s="189">
        <f>town_establishments[[#This Row],[share of state establishments]]/($AF$250-$AF$249)</f>
        <v>1.0321038622412952E-3</v>
      </c>
      <c r="AH198" s="189">
        <f>town_establishments[[#This Row],[share of state establishments (no residual)]]/(INDEX(regional_establishments[share of state establishments],MATCH(town_establishments[[#This Row],[Regional Planning Commission]],regional_establishments[Regional Planning Commission],0)))</f>
        <v>1.6564952048823016E-2</v>
      </c>
    </row>
    <row r="199" spans="1:34" x14ac:dyDescent="0.25">
      <c r="A199" t="s">
        <v>413</v>
      </c>
      <c r="B199" t="str">
        <f>INDEX(town_population[Regional Planning Commission],MATCH(town_establishments[[#This Row],[Municipality]],town_population[Municipality],0))</f>
        <v>Northeastern Vermont Development Association</v>
      </c>
      <c r="E199">
        <v>2</v>
      </c>
      <c r="K199">
        <v>1</v>
      </c>
      <c r="L199">
        <v>1</v>
      </c>
      <c r="M199">
        <v>1</v>
      </c>
      <c r="N199">
        <v>1</v>
      </c>
      <c r="Q199">
        <f t="shared" si="50"/>
        <v>6</v>
      </c>
      <c r="R199" s="189">
        <f t="shared" si="51"/>
        <v>0</v>
      </c>
      <c r="S199" s="189">
        <f t="shared" si="37"/>
        <v>0</v>
      </c>
      <c r="T199" s="189">
        <f t="shared" si="38"/>
        <v>0.33333333333333331</v>
      </c>
      <c r="U199" s="189">
        <f t="shared" si="39"/>
        <v>0</v>
      </c>
      <c r="V199" s="189">
        <f t="shared" si="40"/>
        <v>0</v>
      </c>
      <c r="W199" s="189">
        <f t="shared" si="41"/>
        <v>0</v>
      </c>
      <c r="X199" s="189">
        <f t="shared" si="42"/>
        <v>0</v>
      </c>
      <c r="Y199" s="189">
        <f t="shared" si="43"/>
        <v>0</v>
      </c>
      <c r="Z199" s="189">
        <f t="shared" si="44"/>
        <v>0.16666666666666666</v>
      </c>
      <c r="AA199" s="189">
        <f t="shared" si="45"/>
        <v>0.16666666666666666</v>
      </c>
      <c r="AB199" s="189">
        <f t="shared" si="46"/>
        <v>0.16666666666666666</v>
      </c>
      <c r="AC199" s="189">
        <f t="shared" si="47"/>
        <v>0.16666666666666666</v>
      </c>
      <c r="AD199" s="189">
        <f t="shared" si="48"/>
        <v>0</v>
      </c>
      <c r="AE199" s="189">
        <f t="shared" si="49"/>
        <v>0</v>
      </c>
      <c r="AF199" s="189">
        <f t="shared" si="52"/>
        <v>3.150929524209642E-4</v>
      </c>
      <c r="AG199" s="189">
        <f>town_establishments[[#This Row],[share of state establishments]]/($AF$250-$AF$249)</f>
        <v>3.2592753544461947E-4</v>
      </c>
      <c r="AH199" s="189">
        <f>town_establishments[[#This Row],[share of state establishments (no residual)]]/(INDEX(regional_establishments[share of state establishments],MATCH(town_establishments[[#This Row],[Regional Planning Commission]],regional_establishments[Regional Planning Commission],0)))</f>
        <v>4.1124057573680602E-3</v>
      </c>
    </row>
    <row r="200" spans="1:34" x14ac:dyDescent="0.25">
      <c r="A200" t="s">
        <v>414</v>
      </c>
      <c r="B200" t="str">
        <f>INDEX(town_population[Regional Planning Commission],MATCH(town_establishments[[#This Row],[Municipality]],town_population[Municipality],0))</f>
        <v>Northwest Regional Planning Commission</v>
      </c>
      <c r="C200">
        <v>11</v>
      </c>
      <c r="D200">
        <v>26</v>
      </c>
      <c r="E200">
        <v>11</v>
      </c>
      <c r="G200">
        <v>7</v>
      </c>
      <c r="H200">
        <v>1</v>
      </c>
      <c r="I200">
        <v>13</v>
      </c>
      <c r="J200">
        <v>0</v>
      </c>
      <c r="K200">
        <v>14</v>
      </c>
      <c r="L200">
        <v>2</v>
      </c>
      <c r="M200">
        <v>10</v>
      </c>
      <c r="N200">
        <v>2</v>
      </c>
      <c r="O200">
        <v>12</v>
      </c>
      <c r="P200">
        <v>12</v>
      </c>
      <c r="Q200">
        <f t="shared" si="50"/>
        <v>121</v>
      </c>
      <c r="R200" s="189">
        <f t="shared" si="51"/>
        <v>9.0909090909090912E-2</v>
      </c>
      <c r="S200" s="189">
        <f t="shared" si="37"/>
        <v>0.21487603305785125</v>
      </c>
      <c r="T200" s="189">
        <f t="shared" si="38"/>
        <v>9.0909090909090912E-2</v>
      </c>
      <c r="U200" s="189">
        <f t="shared" si="39"/>
        <v>0</v>
      </c>
      <c r="V200" s="189">
        <f t="shared" si="40"/>
        <v>5.7851239669421489E-2</v>
      </c>
      <c r="W200" s="189">
        <f t="shared" si="41"/>
        <v>8.2644628099173556E-3</v>
      </c>
      <c r="X200" s="189">
        <f t="shared" si="42"/>
        <v>0.10743801652892562</v>
      </c>
      <c r="Y200" s="189">
        <f t="shared" si="43"/>
        <v>0</v>
      </c>
      <c r="Z200" s="189">
        <f t="shared" si="44"/>
        <v>0.11570247933884298</v>
      </c>
      <c r="AA200" s="189">
        <f t="shared" si="45"/>
        <v>1.6528925619834711E-2</v>
      </c>
      <c r="AB200" s="189">
        <f t="shared" si="46"/>
        <v>8.2644628099173556E-2</v>
      </c>
      <c r="AC200" s="189">
        <f t="shared" si="47"/>
        <v>1.6528925619834711E-2</v>
      </c>
      <c r="AD200" s="189">
        <f t="shared" si="48"/>
        <v>9.9173553719008267E-2</v>
      </c>
      <c r="AE200" s="189">
        <f t="shared" si="49"/>
        <v>9.9173553719008267E-2</v>
      </c>
      <c r="AF200" s="189">
        <f t="shared" si="52"/>
        <v>6.3543745404894443E-3</v>
      </c>
      <c r="AG200" s="189">
        <f>town_establishments[[#This Row],[share of state establishments]]/($AF$250-$AF$249)</f>
        <v>6.5728719647998261E-3</v>
      </c>
      <c r="AH200" s="189">
        <f>town_establishments[[#This Row],[share of state establishments (no residual)]]/(INDEX(regional_establishments[share of state establishments],MATCH(town_establishments[[#This Row],[Regional Planning Commission]],regional_establishments[Regional Planning Commission],0)))</f>
        <v>0.11839530332681018</v>
      </c>
    </row>
    <row r="201" spans="1:34" x14ac:dyDescent="0.25">
      <c r="A201" t="s">
        <v>415</v>
      </c>
      <c r="B201" t="str">
        <f>INDEX(town_population[Regional Planning Commission],MATCH(town_establishments[[#This Row],[Municipality]],town_population[Municipality],0))</f>
        <v>Two Rivers-Ottauquechee Regional Commission</v>
      </c>
      <c r="C201">
        <v>2</v>
      </c>
      <c r="D201">
        <v>6</v>
      </c>
      <c r="E201">
        <v>5</v>
      </c>
      <c r="G201">
        <v>4</v>
      </c>
      <c r="H201">
        <v>1</v>
      </c>
      <c r="I201">
        <v>16</v>
      </c>
      <c r="K201">
        <v>9</v>
      </c>
      <c r="L201">
        <v>3</v>
      </c>
      <c r="M201">
        <v>9</v>
      </c>
      <c r="N201">
        <v>1</v>
      </c>
      <c r="O201">
        <v>4</v>
      </c>
      <c r="P201">
        <v>3</v>
      </c>
      <c r="Q201">
        <f t="shared" si="50"/>
        <v>63</v>
      </c>
      <c r="R201" s="189">
        <f t="shared" si="51"/>
        <v>3.1746031746031744E-2</v>
      </c>
      <c r="S201" s="189">
        <f t="shared" si="37"/>
        <v>9.5238095238095233E-2</v>
      </c>
      <c r="T201" s="189">
        <f t="shared" si="38"/>
        <v>7.9365079365079361E-2</v>
      </c>
      <c r="U201" s="189">
        <f t="shared" si="39"/>
        <v>0</v>
      </c>
      <c r="V201" s="189">
        <f t="shared" si="40"/>
        <v>6.3492063492063489E-2</v>
      </c>
      <c r="W201" s="189">
        <f t="shared" si="41"/>
        <v>1.5873015873015872E-2</v>
      </c>
      <c r="X201" s="189">
        <f t="shared" si="42"/>
        <v>0.25396825396825395</v>
      </c>
      <c r="Y201" s="189">
        <f t="shared" si="43"/>
        <v>0</v>
      </c>
      <c r="Z201" s="189">
        <f t="shared" si="44"/>
        <v>0.14285714285714285</v>
      </c>
      <c r="AA201" s="189">
        <f t="shared" si="45"/>
        <v>4.7619047619047616E-2</v>
      </c>
      <c r="AB201" s="189">
        <f t="shared" si="46"/>
        <v>0.14285714285714285</v>
      </c>
      <c r="AC201" s="189">
        <f t="shared" si="47"/>
        <v>1.5873015873015872E-2</v>
      </c>
      <c r="AD201" s="189">
        <f t="shared" si="48"/>
        <v>6.3492063492063489E-2</v>
      </c>
      <c r="AE201" s="189">
        <f t="shared" si="49"/>
        <v>4.7619047619047616E-2</v>
      </c>
      <c r="AF201" s="189">
        <f t="shared" si="52"/>
        <v>3.3084760004201239E-3</v>
      </c>
      <c r="AG201" s="189">
        <f>town_establishments[[#This Row],[share of state establishments]]/($AF$250-$AF$249)</f>
        <v>3.4222391221685046E-3</v>
      </c>
      <c r="AH201" s="189">
        <f>town_establishments[[#This Row],[share of state establishments (no residual)]]/(INDEX(regional_establishments[share of state establishments],MATCH(town_establishments[[#This Row],[Regional Planning Commission]],regional_establishments[Regional Planning Commission],0)))</f>
        <v>3.8888888888888896E-2</v>
      </c>
    </row>
    <row r="202" spans="1:34" x14ac:dyDescent="0.25">
      <c r="A202" t="s">
        <v>416</v>
      </c>
      <c r="B202" t="str">
        <f>INDEX(town_population[Regional Planning Commission],MATCH(town_establishments[[#This Row],[Municipality]],town_population[Municipality],0))</f>
        <v>Rutland Regional Planning Commission</v>
      </c>
      <c r="C202">
        <v>1</v>
      </c>
      <c r="E202">
        <v>1</v>
      </c>
      <c r="L202">
        <v>1</v>
      </c>
      <c r="O202">
        <v>1</v>
      </c>
      <c r="Q202">
        <f t="shared" si="50"/>
        <v>4</v>
      </c>
      <c r="R202" s="189">
        <f t="shared" si="51"/>
        <v>0.25</v>
      </c>
      <c r="S202" s="189">
        <f t="shared" si="37"/>
        <v>0</v>
      </c>
      <c r="T202" s="189">
        <f t="shared" si="38"/>
        <v>0.25</v>
      </c>
      <c r="U202" s="189">
        <f t="shared" si="39"/>
        <v>0</v>
      </c>
      <c r="V202" s="189">
        <f t="shared" si="40"/>
        <v>0</v>
      </c>
      <c r="W202" s="189">
        <f t="shared" si="41"/>
        <v>0</v>
      </c>
      <c r="X202" s="189">
        <f t="shared" si="42"/>
        <v>0</v>
      </c>
      <c r="Y202" s="189">
        <f t="shared" si="43"/>
        <v>0</v>
      </c>
      <c r="Z202" s="189">
        <f t="shared" si="44"/>
        <v>0</v>
      </c>
      <c r="AA202" s="189">
        <f t="shared" si="45"/>
        <v>0.25</v>
      </c>
      <c r="AB202" s="189">
        <f t="shared" si="46"/>
        <v>0</v>
      </c>
      <c r="AC202" s="189">
        <f t="shared" si="47"/>
        <v>0</v>
      </c>
      <c r="AD202" s="189">
        <f t="shared" si="48"/>
        <v>0.25</v>
      </c>
      <c r="AE202" s="189">
        <f t="shared" si="49"/>
        <v>0</v>
      </c>
      <c r="AF202" s="189">
        <f t="shared" si="52"/>
        <v>2.1006196828064278E-4</v>
      </c>
      <c r="AG202" s="189">
        <f>town_establishments[[#This Row],[share of state establishments]]/($AF$250-$AF$249)</f>
        <v>2.172850236297463E-4</v>
      </c>
      <c r="AH202" s="189">
        <f>town_establishments[[#This Row],[share of state establishments (no residual)]]/(INDEX(regional_establishments[share of state establishments],MATCH(town_establishments[[#This Row],[Regional Planning Commission]],regional_establishments[Regional Planning Commission],0)))</f>
        <v>2.2497187851518558E-3</v>
      </c>
    </row>
    <row r="203" spans="1:34" x14ac:dyDescent="0.25">
      <c r="A203" t="s">
        <v>417</v>
      </c>
      <c r="B203" t="str">
        <f>INDEX(town_population[Regional Planning Commission],MATCH(town_establishments[[#This Row],[Municipality]],town_population[Municipality],0))</f>
        <v>Two Rivers-Ottauquechee Regional Commission</v>
      </c>
      <c r="C203">
        <v>1</v>
      </c>
      <c r="D203">
        <v>1</v>
      </c>
      <c r="E203">
        <v>3</v>
      </c>
      <c r="F203">
        <v>1</v>
      </c>
      <c r="G203">
        <v>0</v>
      </c>
      <c r="I203">
        <v>3</v>
      </c>
      <c r="O203">
        <v>1</v>
      </c>
      <c r="P203">
        <v>2</v>
      </c>
      <c r="Q203">
        <f t="shared" si="50"/>
        <v>12</v>
      </c>
      <c r="R203" s="189">
        <f t="shared" si="51"/>
        <v>8.3333333333333329E-2</v>
      </c>
      <c r="S203" s="189">
        <f t="shared" si="37"/>
        <v>8.3333333333333329E-2</v>
      </c>
      <c r="T203" s="189">
        <f t="shared" si="38"/>
        <v>0.25</v>
      </c>
      <c r="U203" s="189">
        <f t="shared" si="39"/>
        <v>8.3333333333333329E-2</v>
      </c>
      <c r="V203" s="189">
        <f t="shared" si="40"/>
        <v>0</v>
      </c>
      <c r="W203" s="189">
        <f t="shared" si="41"/>
        <v>0</v>
      </c>
      <c r="X203" s="189">
        <f t="shared" si="42"/>
        <v>0.25</v>
      </c>
      <c r="Y203" s="189">
        <f t="shared" si="43"/>
        <v>0</v>
      </c>
      <c r="Z203" s="189">
        <f t="shared" si="44"/>
        <v>0</v>
      </c>
      <c r="AA203" s="189">
        <f t="shared" si="45"/>
        <v>0</v>
      </c>
      <c r="AB203" s="189">
        <f t="shared" si="46"/>
        <v>0</v>
      </c>
      <c r="AC203" s="189">
        <f t="shared" si="47"/>
        <v>0</v>
      </c>
      <c r="AD203" s="189">
        <f t="shared" si="48"/>
        <v>8.3333333333333329E-2</v>
      </c>
      <c r="AE203" s="189">
        <f t="shared" si="49"/>
        <v>0.16666666666666666</v>
      </c>
      <c r="AF203" s="189">
        <f t="shared" si="52"/>
        <v>6.3018590484192839E-4</v>
      </c>
      <c r="AG203" s="189">
        <f>town_establishments[[#This Row],[share of state establishments]]/($AF$250-$AF$249)</f>
        <v>6.5185507088923894E-4</v>
      </c>
      <c r="AH203" s="189">
        <f>town_establishments[[#This Row],[share of state establishments (no residual)]]/(INDEX(regional_establishments[share of state establishments],MATCH(town_establishments[[#This Row],[Regional Planning Commission]],regional_establishments[Regional Planning Commission],0)))</f>
        <v>7.4074074074074077E-3</v>
      </c>
    </row>
    <row r="204" spans="1:34" x14ac:dyDescent="0.25">
      <c r="A204" t="s">
        <v>418</v>
      </c>
      <c r="B204" t="str">
        <f>INDEX(town_population[Regional Planning Commission],MATCH(town_establishments[[#This Row],[Municipality]],town_population[Municipality],0))</f>
        <v>Windham Regional Commission</v>
      </c>
      <c r="C204">
        <v>1</v>
      </c>
      <c r="D204">
        <v>4</v>
      </c>
      <c r="E204">
        <v>1</v>
      </c>
      <c r="F204">
        <v>2</v>
      </c>
      <c r="G204">
        <v>2</v>
      </c>
      <c r="I204">
        <v>3</v>
      </c>
      <c r="K204">
        <v>5</v>
      </c>
      <c r="L204">
        <v>3</v>
      </c>
      <c r="M204">
        <v>7</v>
      </c>
      <c r="O204">
        <v>6</v>
      </c>
      <c r="P204">
        <v>1</v>
      </c>
      <c r="Q204">
        <f t="shared" si="50"/>
        <v>35</v>
      </c>
      <c r="R204" s="189">
        <f t="shared" si="51"/>
        <v>2.8571428571428571E-2</v>
      </c>
      <c r="S204" s="189">
        <f t="shared" si="37"/>
        <v>0.11428571428571428</v>
      </c>
      <c r="T204" s="189">
        <f t="shared" si="38"/>
        <v>2.8571428571428571E-2</v>
      </c>
      <c r="U204" s="189">
        <f t="shared" si="39"/>
        <v>5.7142857142857141E-2</v>
      </c>
      <c r="V204" s="189">
        <f t="shared" si="40"/>
        <v>5.7142857142857141E-2</v>
      </c>
      <c r="W204" s="189">
        <f t="shared" si="41"/>
        <v>0</v>
      </c>
      <c r="X204" s="189">
        <f t="shared" si="42"/>
        <v>8.5714285714285715E-2</v>
      </c>
      <c r="Y204" s="189">
        <f t="shared" si="43"/>
        <v>0</v>
      </c>
      <c r="Z204" s="189">
        <f t="shared" si="44"/>
        <v>0.14285714285714285</v>
      </c>
      <c r="AA204" s="189">
        <f t="shared" si="45"/>
        <v>8.5714285714285715E-2</v>
      </c>
      <c r="AB204" s="189">
        <f t="shared" si="46"/>
        <v>0.2</v>
      </c>
      <c r="AC204" s="189">
        <f t="shared" si="47"/>
        <v>0</v>
      </c>
      <c r="AD204" s="189">
        <f t="shared" si="48"/>
        <v>0.17142857142857143</v>
      </c>
      <c r="AE204" s="189">
        <f t="shared" si="49"/>
        <v>2.8571428571428571E-2</v>
      </c>
      <c r="AF204" s="189">
        <f t="shared" si="52"/>
        <v>1.8380422224556245E-3</v>
      </c>
      <c r="AG204" s="189">
        <f>town_establishments[[#This Row],[share of state establishments]]/($AF$250-$AF$249)</f>
        <v>1.9012439567602803E-3</v>
      </c>
      <c r="AH204" s="189">
        <f>town_establishments[[#This Row],[share of state establishments (no residual)]]/(INDEX(regional_establishments[share of state establishments],MATCH(town_establishments[[#This Row],[Regional Planning Commission]],regional_establishments[Regional Planning Commission],0)))</f>
        <v>2.2537025112685127E-2</v>
      </c>
    </row>
    <row r="205" spans="1:34" x14ac:dyDescent="0.25">
      <c r="A205" t="s">
        <v>419</v>
      </c>
      <c r="B205" t="str">
        <f>INDEX(town_population[Regional Planning Commission],MATCH(town_establishments[[#This Row],[Municipality]],town_population[Municipality],0))</f>
        <v>Northeastern Vermont Development Association</v>
      </c>
      <c r="C205">
        <v>2</v>
      </c>
      <c r="D205">
        <v>7</v>
      </c>
      <c r="E205">
        <v>3</v>
      </c>
      <c r="F205">
        <v>2</v>
      </c>
      <c r="G205">
        <v>1</v>
      </c>
      <c r="H205">
        <v>2</v>
      </c>
      <c r="I205">
        <v>2</v>
      </c>
      <c r="K205">
        <v>2</v>
      </c>
      <c r="L205">
        <v>1</v>
      </c>
      <c r="M205">
        <v>1</v>
      </c>
      <c r="O205">
        <v>1</v>
      </c>
      <c r="P205">
        <v>2</v>
      </c>
      <c r="Q205">
        <f t="shared" si="50"/>
        <v>26</v>
      </c>
      <c r="R205" s="189">
        <f t="shared" si="51"/>
        <v>7.6923076923076927E-2</v>
      </c>
      <c r="S205" s="189">
        <f t="shared" si="37"/>
        <v>0.26923076923076922</v>
      </c>
      <c r="T205" s="189">
        <f t="shared" si="38"/>
        <v>0.11538461538461539</v>
      </c>
      <c r="U205" s="189">
        <f t="shared" si="39"/>
        <v>7.6923076923076927E-2</v>
      </c>
      <c r="V205" s="189">
        <f t="shared" si="40"/>
        <v>3.8461538461538464E-2</v>
      </c>
      <c r="W205" s="189">
        <f t="shared" si="41"/>
        <v>7.6923076923076927E-2</v>
      </c>
      <c r="X205" s="189">
        <f t="shared" si="42"/>
        <v>7.6923076923076927E-2</v>
      </c>
      <c r="Y205" s="189">
        <f t="shared" si="43"/>
        <v>0</v>
      </c>
      <c r="Z205" s="189">
        <f t="shared" si="44"/>
        <v>7.6923076923076927E-2</v>
      </c>
      <c r="AA205" s="189">
        <f t="shared" si="45"/>
        <v>3.8461538461538464E-2</v>
      </c>
      <c r="AB205" s="189">
        <f t="shared" si="46"/>
        <v>3.8461538461538464E-2</v>
      </c>
      <c r="AC205" s="189">
        <f t="shared" si="47"/>
        <v>0</v>
      </c>
      <c r="AD205" s="189">
        <f t="shared" si="48"/>
        <v>3.8461538461538464E-2</v>
      </c>
      <c r="AE205" s="189">
        <f t="shared" si="49"/>
        <v>7.6923076923076927E-2</v>
      </c>
      <c r="AF205" s="189">
        <f t="shared" si="52"/>
        <v>1.3654027938241782E-3</v>
      </c>
      <c r="AG205" s="189">
        <f>town_establishments[[#This Row],[share of state establishments]]/($AF$250-$AF$249)</f>
        <v>1.4123526535933511E-3</v>
      </c>
      <c r="AH205" s="189">
        <f>town_establishments[[#This Row],[share of state establishments (no residual)]]/(INDEX(regional_establishments[share of state establishments],MATCH(town_establishments[[#This Row],[Regional Planning Commission]],regional_establishments[Regional Planning Commission],0)))</f>
        <v>1.7820424948594926E-2</v>
      </c>
    </row>
    <row r="206" spans="1:34" x14ac:dyDescent="0.25">
      <c r="A206" t="s">
        <v>420</v>
      </c>
      <c r="B206" t="str">
        <f>INDEX(town_population[Regional Planning Commission],MATCH(town_establishments[[#This Row],[Municipality]],town_population[Municipality],0))</f>
        <v>Two Rivers-Ottauquechee Regional Commission</v>
      </c>
      <c r="C206">
        <v>3</v>
      </c>
      <c r="D206">
        <v>2</v>
      </c>
      <c r="E206">
        <v>1</v>
      </c>
      <c r="F206">
        <v>1</v>
      </c>
      <c r="I206">
        <v>3</v>
      </c>
      <c r="K206">
        <v>1</v>
      </c>
      <c r="L206">
        <v>1</v>
      </c>
      <c r="N206">
        <v>1</v>
      </c>
      <c r="P206">
        <v>5</v>
      </c>
      <c r="Q206">
        <f t="shared" si="50"/>
        <v>18</v>
      </c>
      <c r="R206" s="189">
        <f t="shared" si="51"/>
        <v>0.16666666666666666</v>
      </c>
      <c r="S206" s="189">
        <f t="shared" si="37"/>
        <v>0.1111111111111111</v>
      </c>
      <c r="T206" s="189">
        <f t="shared" si="38"/>
        <v>5.5555555555555552E-2</v>
      </c>
      <c r="U206" s="189">
        <f t="shared" si="39"/>
        <v>5.5555555555555552E-2</v>
      </c>
      <c r="V206" s="189">
        <f t="shared" si="40"/>
        <v>0</v>
      </c>
      <c r="W206" s="189">
        <f t="shared" si="41"/>
        <v>0</v>
      </c>
      <c r="X206" s="189">
        <f t="shared" si="42"/>
        <v>0.16666666666666666</v>
      </c>
      <c r="Y206" s="189">
        <f t="shared" si="43"/>
        <v>0</v>
      </c>
      <c r="Z206" s="189">
        <f t="shared" si="44"/>
        <v>5.5555555555555552E-2</v>
      </c>
      <c r="AA206" s="189">
        <f t="shared" si="45"/>
        <v>5.5555555555555552E-2</v>
      </c>
      <c r="AB206" s="189">
        <f t="shared" si="46"/>
        <v>0</v>
      </c>
      <c r="AC206" s="189">
        <f t="shared" si="47"/>
        <v>5.5555555555555552E-2</v>
      </c>
      <c r="AD206" s="189">
        <f t="shared" si="48"/>
        <v>0</v>
      </c>
      <c r="AE206" s="189">
        <f t="shared" si="49"/>
        <v>0.27777777777777779</v>
      </c>
      <c r="AF206" s="189">
        <f t="shared" si="52"/>
        <v>9.4527885726289253E-4</v>
      </c>
      <c r="AG206" s="189">
        <f>town_establishments[[#This Row],[share of state establishments]]/($AF$250-$AF$249)</f>
        <v>9.7778260633385851E-4</v>
      </c>
      <c r="AH206" s="189">
        <f>town_establishments[[#This Row],[share of state establishments (no residual)]]/(INDEX(regional_establishments[share of state establishments],MATCH(town_establishments[[#This Row],[Regional Planning Commission]],regional_establishments[Regional Planning Commission],0)))</f>
        <v>1.1111111111111113E-2</v>
      </c>
    </row>
    <row r="207" spans="1:34" x14ac:dyDescent="0.25">
      <c r="A207" t="s">
        <v>421</v>
      </c>
      <c r="B207" t="str">
        <f>INDEX(town_population[Regional Planning Commission],MATCH(town_establishments[[#This Row],[Municipality]],town_population[Municipality],0))</f>
        <v>Chittenden County Regional Planning Commission</v>
      </c>
      <c r="C207">
        <v>7</v>
      </c>
      <c r="D207">
        <v>3</v>
      </c>
      <c r="E207">
        <v>2</v>
      </c>
      <c r="I207">
        <v>10</v>
      </c>
      <c r="K207">
        <v>6</v>
      </c>
      <c r="L207">
        <v>4</v>
      </c>
      <c r="M207">
        <v>2</v>
      </c>
      <c r="N207">
        <v>1</v>
      </c>
      <c r="P207">
        <v>3</v>
      </c>
      <c r="Q207">
        <f t="shared" si="50"/>
        <v>38</v>
      </c>
      <c r="R207" s="189">
        <f t="shared" si="51"/>
        <v>0.18421052631578946</v>
      </c>
      <c r="S207" s="189">
        <f t="shared" si="37"/>
        <v>7.8947368421052627E-2</v>
      </c>
      <c r="T207" s="189">
        <f t="shared" si="38"/>
        <v>5.2631578947368418E-2</v>
      </c>
      <c r="U207" s="189">
        <f t="shared" si="39"/>
        <v>0</v>
      </c>
      <c r="V207" s="189">
        <f t="shared" si="40"/>
        <v>0</v>
      </c>
      <c r="W207" s="189">
        <f t="shared" si="41"/>
        <v>0</v>
      </c>
      <c r="X207" s="189">
        <f t="shared" si="42"/>
        <v>0.26315789473684209</v>
      </c>
      <c r="Y207" s="189">
        <f t="shared" si="43"/>
        <v>0</v>
      </c>
      <c r="Z207" s="189">
        <f t="shared" si="44"/>
        <v>0.15789473684210525</v>
      </c>
      <c r="AA207" s="189">
        <f t="shared" si="45"/>
        <v>0.10526315789473684</v>
      </c>
      <c r="AB207" s="189">
        <f t="shared" si="46"/>
        <v>5.2631578947368418E-2</v>
      </c>
      <c r="AC207" s="189">
        <f t="shared" si="47"/>
        <v>2.6315789473684209E-2</v>
      </c>
      <c r="AD207" s="189">
        <f t="shared" si="48"/>
        <v>0</v>
      </c>
      <c r="AE207" s="189">
        <f t="shared" si="49"/>
        <v>7.8947368421052627E-2</v>
      </c>
      <c r="AF207" s="189">
        <f t="shared" si="52"/>
        <v>1.9955886986661067E-3</v>
      </c>
      <c r="AG207" s="189">
        <f>town_establishments[[#This Row],[share of state establishments]]/($AF$250-$AF$249)</f>
        <v>2.0642077244825904E-3</v>
      </c>
      <c r="AH207" s="189">
        <f>town_establishments[[#This Row],[share of state establishments (no residual)]]/(INDEX(regional_establishments[share of state establishments],MATCH(town_establishments[[#This Row],[Regional Planning Commission]],regional_establishments[Regional Planning Commission],0)))</f>
        <v>7.012363904779482E-3</v>
      </c>
    </row>
    <row r="208" spans="1:34" x14ac:dyDescent="0.25">
      <c r="A208" t="s">
        <v>422</v>
      </c>
      <c r="B208" t="str">
        <f>INDEX(town_population[Regional Planning Commission],MATCH(town_establishments[[#This Row],[Municipality]],town_population[Municipality],0))</f>
        <v>Addison County Regional Planning Commission</v>
      </c>
      <c r="C208">
        <v>9</v>
      </c>
      <c r="D208">
        <v>23</v>
      </c>
      <c r="E208">
        <v>2</v>
      </c>
      <c r="F208">
        <v>2</v>
      </c>
      <c r="G208">
        <v>8</v>
      </c>
      <c r="H208">
        <v>7</v>
      </c>
      <c r="I208">
        <v>23</v>
      </c>
      <c r="K208">
        <v>6</v>
      </c>
      <c r="L208">
        <v>3</v>
      </c>
      <c r="M208">
        <v>16</v>
      </c>
      <c r="O208">
        <v>12</v>
      </c>
      <c r="P208">
        <v>11</v>
      </c>
      <c r="Q208">
        <f t="shared" si="50"/>
        <v>122</v>
      </c>
      <c r="R208" s="189">
        <f t="shared" si="51"/>
        <v>7.3770491803278687E-2</v>
      </c>
      <c r="S208" s="189">
        <f t="shared" si="37"/>
        <v>0.18852459016393441</v>
      </c>
      <c r="T208" s="189">
        <f t="shared" si="38"/>
        <v>1.6393442622950821E-2</v>
      </c>
      <c r="U208" s="189">
        <f t="shared" si="39"/>
        <v>1.6393442622950821E-2</v>
      </c>
      <c r="V208" s="189">
        <f t="shared" si="40"/>
        <v>6.5573770491803282E-2</v>
      </c>
      <c r="W208" s="189">
        <f t="shared" si="41"/>
        <v>5.737704918032787E-2</v>
      </c>
      <c r="X208" s="189">
        <f t="shared" si="42"/>
        <v>0.18852459016393441</v>
      </c>
      <c r="Y208" s="189">
        <f t="shared" si="43"/>
        <v>0</v>
      </c>
      <c r="Z208" s="189">
        <f t="shared" si="44"/>
        <v>4.9180327868852458E-2</v>
      </c>
      <c r="AA208" s="189">
        <f t="shared" si="45"/>
        <v>2.4590163934426229E-2</v>
      </c>
      <c r="AB208" s="189">
        <f t="shared" si="46"/>
        <v>0.13114754098360656</v>
      </c>
      <c r="AC208" s="189">
        <f t="shared" si="47"/>
        <v>0</v>
      </c>
      <c r="AD208" s="189">
        <f t="shared" si="48"/>
        <v>9.8360655737704916E-2</v>
      </c>
      <c r="AE208" s="189">
        <f t="shared" si="49"/>
        <v>9.0163934426229511E-2</v>
      </c>
      <c r="AF208" s="189">
        <f t="shared" si="52"/>
        <v>6.4068900325596053E-3</v>
      </c>
      <c r="AG208" s="189">
        <f>town_establishments[[#This Row],[share of state establishments]]/($AF$250-$AF$249)</f>
        <v>6.6271932207072632E-3</v>
      </c>
      <c r="AH208" s="189">
        <f>town_establishments[[#This Row],[share of state establishments (no residual)]]/(INDEX(regional_establishments[share of state establishments],MATCH(town_establishments[[#This Row],[Regional Planning Commission]],regional_establishments[Regional Planning Commission],0)))</f>
        <v>0.13034188034188035</v>
      </c>
    </row>
    <row r="209" spans="1:34" x14ac:dyDescent="0.25">
      <c r="A209" t="s">
        <v>423</v>
      </c>
      <c r="B209" t="str">
        <f>INDEX(town_population[Regional Planning Commission],MATCH(town_establishments[[#This Row],[Municipality]],town_population[Municipality],0))</f>
        <v>Windham Regional Commission</v>
      </c>
      <c r="C209">
        <v>5</v>
      </c>
      <c r="D209">
        <v>2</v>
      </c>
      <c r="E209">
        <v>1</v>
      </c>
      <c r="G209">
        <v>1</v>
      </c>
      <c r="H209">
        <v>1</v>
      </c>
      <c r="I209">
        <v>8</v>
      </c>
      <c r="K209">
        <v>7</v>
      </c>
      <c r="L209">
        <v>1</v>
      </c>
      <c r="M209">
        <v>3</v>
      </c>
      <c r="O209">
        <v>3</v>
      </c>
      <c r="P209">
        <v>2</v>
      </c>
      <c r="Q209">
        <f t="shared" si="50"/>
        <v>34</v>
      </c>
      <c r="R209" s="189">
        <f t="shared" si="51"/>
        <v>0.14705882352941177</v>
      </c>
      <c r="S209" s="189">
        <f t="shared" si="37"/>
        <v>5.8823529411764705E-2</v>
      </c>
      <c r="T209" s="189">
        <f t="shared" si="38"/>
        <v>2.9411764705882353E-2</v>
      </c>
      <c r="U209" s="189">
        <f t="shared" si="39"/>
        <v>0</v>
      </c>
      <c r="V209" s="189">
        <f t="shared" si="40"/>
        <v>2.9411764705882353E-2</v>
      </c>
      <c r="W209" s="189">
        <f t="shared" si="41"/>
        <v>2.9411764705882353E-2</v>
      </c>
      <c r="X209" s="189">
        <f t="shared" si="42"/>
        <v>0.23529411764705882</v>
      </c>
      <c r="Y209" s="189">
        <f t="shared" si="43"/>
        <v>0</v>
      </c>
      <c r="Z209" s="189">
        <f t="shared" si="44"/>
        <v>0.20588235294117646</v>
      </c>
      <c r="AA209" s="189">
        <f t="shared" si="45"/>
        <v>2.9411764705882353E-2</v>
      </c>
      <c r="AB209" s="189">
        <f t="shared" si="46"/>
        <v>8.8235294117647065E-2</v>
      </c>
      <c r="AC209" s="189">
        <f t="shared" si="47"/>
        <v>0</v>
      </c>
      <c r="AD209" s="189">
        <f t="shared" si="48"/>
        <v>8.8235294117647065E-2</v>
      </c>
      <c r="AE209" s="189">
        <f t="shared" si="49"/>
        <v>5.8823529411764705E-2</v>
      </c>
      <c r="AF209" s="189">
        <f t="shared" si="52"/>
        <v>1.7855267303854637E-3</v>
      </c>
      <c r="AG209" s="189">
        <f>town_establishments[[#This Row],[share of state establishments]]/($AF$250-$AF$249)</f>
        <v>1.8469227008528436E-3</v>
      </c>
      <c r="AH209" s="189">
        <f>town_establishments[[#This Row],[share of state establishments (no residual)]]/(INDEX(regional_establishments[share of state establishments],MATCH(town_establishments[[#This Row],[Regional Planning Commission]],regional_establishments[Regional Planning Commission],0)))</f>
        <v>2.1893110109465548E-2</v>
      </c>
    </row>
    <row r="210" spans="1:34" x14ac:dyDescent="0.25">
      <c r="A210" t="s">
        <v>424</v>
      </c>
      <c r="B210" t="str">
        <f>INDEX(town_population[Regional Planning Commission],MATCH(town_establishments[[#This Row],[Municipality]],town_population[Municipality],0))</f>
        <v>Two Rivers-Ottauquechee Regional Commission</v>
      </c>
      <c r="E210">
        <v>2</v>
      </c>
      <c r="I210">
        <v>1</v>
      </c>
      <c r="K210">
        <v>1</v>
      </c>
      <c r="L210">
        <v>2</v>
      </c>
      <c r="M210">
        <v>1</v>
      </c>
      <c r="P210">
        <v>1</v>
      </c>
      <c r="Q210">
        <f t="shared" si="50"/>
        <v>8</v>
      </c>
      <c r="R210" s="189">
        <f t="shared" si="51"/>
        <v>0</v>
      </c>
      <c r="S210" s="189">
        <f t="shared" si="37"/>
        <v>0</v>
      </c>
      <c r="T210" s="189">
        <f t="shared" si="38"/>
        <v>0.25</v>
      </c>
      <c r="U210" s="189">
        <f t="shared" si="39"/>
        <v>0</v>
      </c>
      <c r="V210" s="189">
        <f t="shared" si="40"/>
        <v>0</v>
      </c>
      <c r="W210" s="189">
        <f t="shared" si="41"/>
        <v>0</v>
      </c>
      <c r="X210" s="189">
        <f t="shared" si="42"/>
        <v>0.125</v>
      </c>
      <c r="Y210" s="189">
        <f t="shared" si="43"/>
        <v>0</v>
      </c>
      <c r="Z210" s="189">
        <f t="shared" si="44"/>
        <v>0.125</v>
      </c>
      <c r="AA210" s="189">
        <f t="shared" si="45"/>
        <v>0.25</v>
      </c>
      <c r="AB210" s="189">
        <f t="shared" si="46"/>
        <v>0.125</v>
      </c>
      <c r="AC210" s="189">
        <f t="shared" si="47"/>
        <v>0</v>
      </c>
      <c r="AD210" s="189">
        <f t="shared" si="48"/>
        <v>0</v>
      </c>
      <c r="AE210" s="189">
        <f t="shared" si="49"/>
        <v>0.125</v>
      </c>
      <c r="AF210" s="189">
        <f t="shared" si="52"/>
        <v>4.2012393656128556E-4</v>
      </c>
      <c r="AG210" s="189">
        <f>town_establishments[[#This Row],[share of state establishments]]/($AF$250-$AF$249)</f>
        <v>4.3457004725949261E-4</v>
      </c>
      <c r="AH210" s="189">
        <f>town_establishments[[#This Row],[share of state establishments (no residual)]]/(INDEX(regional_establishments[share of state establishments],MATCH(town_establishments[[#This Row],[Regional Planning Commission]],regional_establishments[Regional Planning Commission],0)))</f>
        <v>4.9382716049382715E-3</v>
      </c>
    </row>
    <row r="211" spans="1:34" x14ac:dyDescent="0.25">
      <c r="A211" t="s">
        <v>425</v>
      </c>
      <c r="B211" t="str">
        <f>INDEX(town_population[Regional Planning Commission],MATCH(town_establishments[[#This Row],[Municipality]],town_population[Municipality],0))</f>
        <v>Northeastern Vermont Development Association</v>
      </c>
      <c r="Q211">
        <f t="shared" si="50"/>
        <v>0</v>
      </c>
      <c r="R211" s="189">
        <f t="shared" si="51"/>
        <v>0</v>
      </c>
      <c r="S211" s="189">
        <f t="shared" ref="S211:S250" si="53">IF($Q211&lt;&gt;0,D211/$Q211,0)</f>
        <v>0</v>
      </c>
      <c r="T211" s="189">
        <f t="shared" ref="T211:T250" si="54">IF($Q211&lt;&gt;0,E211/$Q211,0)</f>
        <v>0</v>
      </c>
      <c r="U211" s="189">
        <f t="shared" ref="U211:U250" si="55">IF($Q211&lt;&gt;0,F211/$Q211,0)</f>
        <v>0</v>
      </c>
      <c r="V211" s="189">
        <f t="shared" ref="V211:V250" si="56">IF($Q211&lt;&gt;0,G211/$Q211,0)</f>
        <v>0</v>
      </c>
      <c r="W211" s="189">
        <f t="shared" ref="W211:W250" si="57">IF($Q211&lt;&gt;0,H211/$Q211,0)</f>
        <v>0</v>
      </c>
      <c r="X211" s="189">
        <f t="shared" ref="X211:X250" si="58">IF($Q211&lt;&gt;0,I211/$Q211,0)</f>
        <v>0</v>
      </c>
      <c r="Y211" s="189">
        <f t="shared" ref="Y211:Y250" si="59">IF($Q211&lt;&gt;0,J211/$Q211,0)</f>
        <v>0</v>
      </c>
      <c r="Z211" s="189">
        <f t="shared" ref="Z211:Z250" si="60">IF($Q211&lt;&gt;0,K211/$Q211,0)</f>
        <v>0</v>
      </c>
      <c r="AA211" s="189">
        <f t="shared" ref="AA211:AA250" si="61">IF($Q211&lt;&gt;0,L211/$Q211,0)</f>
        <v>0</v>
      </c>
      <c r="AB211" s="189">
        <f t="shared" ref="AB211:AB250" si="62">IF($Q211&lt;&gt;0,M211/$Q211,0)</f>
        <v>0</v>
      </c>
      <c r="AC211" s="189">
        <f t="shared" ref="AC211:AC250" si="63">IF($Q211&lt;&gt;0,N211/$Q211,0)</f>
        <v>0</v>
      </c>
      <c r="AD211" s="189">
        <f t="shared" ref="AD211:AD250" si="64">IF($Q211&lt;&gt;0,O211/$Q211,0)</f>
        <v>0</v>
      </c>
      <c r="AE211" s="189">
        <f t="shared" ref="AE211:AE250" si="65">IF($Q211&lt;&gt;0,P211/$Q211,0)</f>
        <v>0</v>
      </c>
      <c r="AF211" s="189">
        <f t="shared" si="52"/>
        <v>0</v>
      </c>
      <c r="AG211" s="189">
        <f>town_establishments[[#This Row],[share of state establishments]]/($AF$250-$AF$249)</f>
        <v>0</v>
      </c>
      <c r="AH211" s="189">
        <f>town_establishments[[#This Row],[share of state establishments (no residual)]]/(INDEX(regional_establishments[share of state establishments],MATCH(town_establishments[[#This Row],[Regional Planning Commission]],regional_establishments[Regional Planning Commission],0)))</f>
        <v>0</v>
      </c>
    </row>
    <row r="212" spans="1:34" x14ac:dyDescent="0.25">
      <c r="A212" t="s">
        <v>426</v>
      </c>
      <c r="B212" t="str">
        <f>INDEX(town_population[Regional Planning Commission],MATCH(town_establishments[[#This Row],[Municipality]],town_population[Municipality],0))</f>
        <v>Central Vermont Regional Planning Commission</v>
      </c>
      <c r="C212">
        <v>13</v>
      </c>
      <c r="D212">
        <v>32</v>
      </c>
      <c r="E212">
        <v>1</v>
      </c>
      <c r="F212">
        <v>9</v>
      </c>
      <c r="G212">
        <v>11</v>
      </c>
      <c r="H212">
        <v>14</v>
      </c>
      <c r="I212">
        <v>35</v>
      </c>
      <c r="J212">
        <v>2</v>
      </c>
      <c r="K212">
        <v>12</v>
      </c>
      <c r="L212">
        <v>1</v>
      </c>
      <c r="M212">
        <v>7</v>
      </c>
      <c r="N212">
        <v>3</v>
      </c>
      <c r="O212">
        <v>20</v>
      </c>
      <c r="P212">
        <v>16</v>
      </c>
      <c r="Q212">
        <f t="shared" si="50"/>
        <v>176</v>
      </c>
      <c r="R212" s="189">
        <f t="shared" si="51"/>
        <v>7.3863636363636367E-2</v>
      </c>
      <c r="S212" s="189">
        <f t="shared" si="53"/>
        <v>0.18181818181818182</v>
      </c>
      <c r="T212" s="189">
        <f t="shared" si="54"/>
        <v>5.681818181818182E-3</v>
      </c>
      <c r="U212" s="189">
        <f t="shared" si="55"/>
        <v>5.113636363636364E-2</v>
      </c>
      <c r="V212" s="189">
        <f t="shared" si="56"/>
        <v>6.25E-2</v>
      </c>
      <c r="W212" s="189">
        <f t="shared" si="57"/>
        <v>7.9545454545454544E-2</v>
      </c>
      <c r="X212" s="189">
        <f t="shared" si="58"/>
        <v>0.19886363636363635</v>
      </c>
      <c r="Y212" s="189">
        <f t="shared" si="59"/>
        <v>1.1363636363636364E-2</v>
      </c>
      <c r="Z212" s="189">
        <f t="shared" si="60"/>
        <v>6.8181818181818177E-2</v>
      </c>
      <c r="AA212" s="189">
        <f t="shared" si="61"/>
        <v>5.681818181818182E-3</v>
      </c>
      <c r="AB212" s="189">
        <f t="shared" si="62"/>
        <v>3.9772727272727272E-2</v>
      </c>
      <c r="AC212" s="189">
        <f t="shared" si="63"/>
        <v>1.7045454545454544E-2</v>
      </c>
      <c r="AD212" s="189">
        <f t="shared" si="64"/>
        <v>0.11363636363636363</v>
      </c>
      <c r="AE212" s="189">
        <f t="shared" si="65"/>
        <v>9.0909090909090912E-2</v>
      </c>
      <c r="AF212" s="189">
        <f t="shared" si="52"/>
        <v>9.2427266043482829E-3</v>
      </c>
      <c r="AG212" s="189">
        <f>town_establishments[[#This Row],[share of state establishments]]/($AF$250-$AF$249)</f>
        <v>9.5605410397088374E-3</v>
      </c>
      <c r="AH212" s="189">
        <f>town_establishments[[#This Row],[share of state establishments (no residual)]]/(INDEX(regional_establishments[share of state establishments],MATCH(town_establishments[[#This Row],[Regional Planning Commission]],regional_establishments[Regional Planning Commission],0)))</f>
        <v>8.6742237555446022E-2</v>
      </c>
    </row>
    <row r="213" spans="1:34" x14ac:dyDescent="0.25">
      <c r="A213" t="s">
        <v>427</v>
      </c>
      <c r="B213" t="str">
        <f>INDEX(town_population[Regional Planning Commission],MATCH(town_establishments[[#This Row],[Municipality]],town_population[Municipality],0))</f>
        <v>Northeastern Vermont Development Association</v>
      </c>
      <c r="I213">
        <v>1</v>
      </c>
      <c r="K213">
        <v>1</v>
      </c>
      <c r="L213">
        <v>1</v>
      </c>
      <c r="Q213">
        <f t="shared" si="50"/>
        <v>3</v>
      </c>
      <c r="R213" s="189">
        <f t="shared" si="51"/>
        <v>0</v>
      </c>
      <c r="S213" s="189">
        <f t="shared" si="53"/>
        <v>0</v>
      </c>
      <c r="T213" s="189">
        <f t="shared" si="54"/>
        <v>0</v>
      </c>
      <c r="U213" s="189">
        <f t="shared" si="55"/>
        <v>0</v>
      </c>
      <c r="V213" s="189">
        <f t="shared" si="56"/>
        <v>0</v>
      </c>
      <c r="W213" s="189">
        <f t="shared" si="57"/>
        <v>0</v>
      </c>
      <c r="X213" s="189">
        <f t="shared" si="58"/>
        <v>0.33333333333333331</v>
      </c>
      <c r="Y213" s="189">
        <f t="shared" si="59"/>
        <v>0</v>
      </c>
      <c r="Z213" s="189">
        <f t="shared" si="60"/>
        <v>0.33333333333333331</v>
      </c>
      <c r="AA213" s="189">
        <f t="shared" si="61"/>
        <v>0.33333333333333331</v>
      </c>
      <c r="AB213" s="189">
        <f t="shared" si="62"/>
        <v>0</v>
      </c>
      <c r="AC213" s="189">
        <f t="shared" si="63"/>
        <v>0</v>
      </c>
      <c r="AD213" s="189">
        <f t="shared" si="64"/>
        <v>0</v>
      </c>
      <c r="AE213" s="189">
        <f t="shared" si="65"/>
        <v>0</v>
      </c>
      <c r="AF213" s="189">
        <f t="shared" si="52"/>
        <v>1.575464762104821E-4</v>
      </c>
      <c r="AG213" s="189">
        <f>town_establishments[[#This Row],[share of state establishments]]/($AF$250-$AF$249)</f>
        <v>1.6296376772230973E-4</v>
      </c>
      <c r="AH213" s="189">
        <f>town_establishments[[#This Row],[share of state establishments (no residual)]]/(INDEX(regional_establishments[share of state establishments],MATCH(town_establishments[[#This Row],[Regional Planning Commission]],regional_establishments[Regional Planning Commission],0)))</f>
        <v>2.0562028786840301E-3</v>
      </c>
    </row>
    <row r="214" spans="1:34" x14ac:dyDescent="0.25">
      <c r="A214" t="s">
        <v>428</v>
      </c>
      <c r="B214" t="str">
        <f>INDEX(town_population[Regional Planning Commission],MATCH(town_establishments[[#This Row],[Municipality]],town_population[Municipality],0))</f>
        <v>Rutland Regional Planning Commission</v>
      </c>
      <c r="C214">
        <v>2</v>
      </c>
      <c r="D214">
        <v>9</v>
      </c>
      <c r="E214">
        <v>2</v>
      </c>
      <c r="F214">
        <v>2</v>
      </c>
      <c r="H214">
        <v>1</v>
      </c>
      <c r="I214">
        <v>8</v>
      </c>
      <c r="K214">
        <v>5</v>
      </c>
      <c r="L214">
        <v>1</v>
      </c>
      <c r="M214">
        <v>8</v>
      </c>
      <c r="N214">
        <v>2</v>
      </c>
      <c r="O214">
        <v>3</v>
      </c>
      <c r="P214">
        <v>2</v>
      </c>
      <c r="Q214">
        <f t="shared" si="50"/>
        <v>45</v>
      </c>
      <c r="R214" s="189">
        <f t="shared" si="51"/>
        <v>4.4444444444444446E-2</v>
      </c>
      <c r="S214" s="189">
        <f t="shared" si="53"/>
        <v>0.2</v>
      </c>
      <c r="T214" s="189">
        <f t="shared" si="54"/>
        <v>4.4444444444444446E-2</v>
      </c>
      <c r="U214" s="189">
        <f t="shared" si="55"/>
        <v>4.4444444444444446E-2</v>
      </c>
      <c r="V214" s="189">
        <f t="shared" si="56"/>
        <v>0</v>
      </c>
      <c r="W214" s="189">
        <f t="shared" si="57"/>
        <v>2.2222222222222223E-2</v>
      </c>
      <c r="X214" s="189">
        <f t="shared" si="58"/>
        <v>0.17777777777777778</v>
      </c>
      <c r="Y214" s="189">
        <f t="shared" si="59"/>
        <v>0</v>
      </c>
      <c r="Z214" s="189">
        <f t="shared" si="60"/>
        <v>0.1111111111111111</v>
      </c>
      <c r="AA214" s="189">
        <f t="shared" si="61"/>
        <v>2.2222222222222223E-2</v>
      </c>
      <c r="AB214" s="189">
        <f t="shared" si="62"/>
        <v>0.17777777777777778</v>
      </c>
      <c r="AC214" s="189">
        <f t="shared" si="63"/>
        <v>4.4444444444444446E-2</v>
      </c>
      <c r="AD214" s="189">
        <f t="shared" si="64"/>
        <v>6.6666666666666666E-2</v>
      </c>
      <c r="AE214" s="189">
        <f t="shared" si="65"/>
        <v>4.4444444444444446E-2</v>
      </c>
      <c r="AF214" s="189">
        <f t="shared" si="52"/>
        <v>2.3631971431572313E-3</v>
      </c>
      <c r="AG214" s="189">
        <f>town_establishments[[#This Row],[share of state establishments]]/($AF$250-$AF$249)</f>
        <v>2.4444565158346461E-3</v>
      </c>
      <c r="AH214" s="189">
        <f>town_establishments[[#This Row],[share of state establishments (no residual)]]/(INDEX(regional_establishments[share of state establishments],MATCH(town_establishments[[#This Row],[Regional Planning Commission]],regional_establishments[Regional Planning Commission],0)))</f>
        <v>2.5309336332958378E-2</v>
      </c>
    </row>
    <row r="215" spans="1:34" x14ac:dyDescent="0.25">
      <c r="A215" t="s">
        <v>429</v>
      </c>
      <c r="B215" t="str">
        <f>INDEX(town_population[Regional Planning Commission],MATCH(town_establishments[[#This Row],[Municipality]],town_population[Municipality],0))</f>
        <v>Addison County Regional Planning Commission</v>
      </c>
      <c r="I215">
        <v>4</v>
      </c>
      <c r="P215">
        <v>2</v>
      </c>
      <c r="Q215">
        <f t="shared" si="50"/>
        <v>6</v>
      </c>
      <c r="R215" s="189">
        <f t="shared" si="51"/>
        <v>0</v>
      </c>
      <c r="S215" s="189">
        <f t="shared" si="53"/>
        <v>0</v>
      </c>
      <c r="T215" s="189">
        <f t="shared" si="54"/>
        <v>0</v>
      </c>
      <c r="U215" s="189">
        <f t="shared" si="55"/>
        <v>0</v>
      </c>
      <c r="V215" s="189">
        <f t="shared" si="56"/>
        <v>0</v>
      </c>
      <c r="W215" s="189">
        <f t="shared" si="57"/>
        <v>0</v>
      </c>
      <c r="X215" s="189">
        <f t="shared" si="58"/>
        <v>0.66666666666666663</v>
      </c>
      <c r="Y215" s="189">
        <f t="shared" si="59"/>
        <v>0</v>
      </c>
      <c r="Z215" s="189">
        <f t="shared" si="60"/>
        <v>0</v>
      </c>
      <c r="AA215" s="189">
        <f t="shared" si="61"/>
        <v>0</v>
      </c>
      <c r="AB215" s="189">
        <f t="shared" si="62"/>
        <v>0</v>
      </c>
      <c r="AC215" s="189">
        <f t="shared" si="63"/>
        <v>0</v>
      </c>
      <c r="AD215" s="189">
        <f t="shared" si="64"/>
        <v>0</v>
      </c>
      <c r="AE215" s="189">
        <f t="shared" si="65"/>
        <v>0.33333333333333331</v>
      </c>
      <c r="AF215" s="189">
        <f t="shared" si="52"/>
        <v>3.150929524209642E-4</v>
      </c>
      <c r="AG215" s="189">
        <f>town_establishments[[#This Row],[share of state establishments]]/($AF$250-$AF$249)</f>
        <v>3.2592753544461947E-4</v>
      </c>
      <c r="AH215" s="189">
        <f>town_establishments[[#This Row],[share of state establishments (no residual)]]/(INDEX(regional_establishments[share of state establishments],MATCH(town_establishments[[#This Row],[Regional Planning Commission]],regional_establishments[Regional Planning Commission],0)))</f>
        <v>6.4102564102564109E-3</v>
      </c>
    </row>
    <row r="216" spans="1:34" x14ac:dyDescent="0.25">
      <c r="A216" t="s">
        <v>430</v>
      </c>
      <c r="B216" t="str">
        <f>INDEX(town_population[Regional Planning Commission],MATCH(town_establishments[[#This Row],[Municipality]],town_population[Municipality],0))</f>
        <v>Windham Regional Commission</v>
      </c>
      <c r="C216">
        <v>3</v>
      </c>
      <c r="D216">
        <v>1</v>
      </c>
      <c r="E216">
        <v>2</v>
      </c>
      <c r="F216">
        <v>1</v>
      </c>
      <c r="H216">
        <v>2</v>
      </c>
      <c r="I216">
        <v>1</v>
      </c>
      <c r="K216">
        <v>4</v>
      </c>
      <c r="L216">
        <v>1</v>
      </c>
      <c r="O216">
        <v>2</v>
      </c>
      <c r="Q216">
        <f t="shared" si="50"/>
        <v>17</v>
      </c>
      <c r="R216" s="189">
        <f t="shared" si="51"/>
        <v>0.17647058823529413</v>
      </c>
      <c r="S216" s="189">
        <f t="shared" si="53"/>
        <v>5.8823529411764705E-2</v>
      </c>
      <c r="T216" s="189">
        <f t="shared" si="54"/>
        <v>0.11764705882352941</v>
      </c>
      <c r="U216" s="189">
        <f t="shared" si="55"/>
        <v>5.8823529411764705E-2</v>
      </c>
      <c r="V216" s="189">
        <f t="shared" si="56"/>
        <v>0</v>
      </c>
      <c r="W216" s="189">
        <f t="shared" si="57"/>
        <v>0.11764705882352941</v>
      </c>
      <c r="X216" s="189">
        <f t="shared" si="58"/>
        <v>5.8823529411764705E-2</v>
      </c>
      <c r="Y216" s="189">
        <f t="shared" si="59"/>
        <v>0</v>
      </c>
      <c r="Z216" s="189">
        <f t="shared" si="60"/>
        <v>0.23529411764705882</v>
      </c>
      <c r="AA216" s="189">
        <f t="shared" si="61"/>
        <v>5.8823529411764705E-2</v>
      </c>
      <c r="AB216" s="189">
        <f t="shared" si="62"/>
        <v>0</v>
      </c>
      <c r="AC216" s="189">
        <f t="shared" si="63"/>
        <v>0</v>
      </c>
      <c r="AD216" s="189">
        <f t="shared" si="64"/>
        <v>0.11764705882352941</v>
      </c>
      <c r="AE216" s="189">
        <f t="shared" si="65"/>
        <v>0</v>
      </c>
      <c r="AF216" s="189">
        <f t="shared" si="52"/>
        <v>8.9276336519273183E-4</v>
      </c>
      <c r="AG216" s="189">
        <f>town_establishments[[#This Row],[share of state establishments]]/($AF$250-$AF$249)</f>
        <v>9.2346135042642181E-4</v>
      </c>
      <c r="AH216" s="189">
        <f>town_establishments[[#This Row],[share of state establishments (no residual)]]/(INDEX(regional_establishments[share of state establishments],MATCH(town_establishments[[#This Row],[Regional Planning Commission]],regional_establishments[Regional Planning Commission],0)))</f>
        <v>1.0946555054732774E-2</v>
      </c>
    </row>
    <row r="217" spans="1:34" x14ac:dyDescent="0.25">
      <c r="A217" t="s">
        <v>432</v>
      </c>
      <c r="B217" t="str">
        <f>INDEX(town_population[Regional Planning Commission],MATCH(town_establishments[[#This Row],[Municipality]],town_population[Municipality],0))</f>
        <v>Central Vermont Regional Planning Commission</v>
      </c>
      <c r="C217">
        <v>10</v>
      </c>
      <c r="D217">
        <v>7</v>
      </c>
      <c r="E217">
        <v>1</v>
      </c>
      <c r="G217">
        <v>0</v>
      </c>
      <c r="H217">
        <v>7</v>
      </c>
      <c r="I217">
        <v>16</v>
      </c>
      <c r="K217">
        <v>6</v>
      </c>
      <c r="L217">
        <v>3</v>
      </c>
      <c r="M217">
        <v>3</v>
      </c>
      <c r="N217">
        <v>2</v>
      </c>
      <c r="O217">
        <v>14</v>
      </c>
      <c r="P217">
        <v>8</v>
      </c>
      <c r="Q217">
        <f t="shared" si="50"/>
        <v>77</v>
      </c>
      <c r="R217" s="189">
        <f t="shared" si="51"/>
        <v>0.12987012987012986</v>
      </c>
      <c r="S217" s="189">
        <f t="shared" si="53"/>
        <v>9.0909090909090912E-2</v>
      </c>
      <c r="T217" s="189">
        <f t="shared" si="54"/>
        <v>1.2987012987012988E-2</v>
      </c>
      <c r="U217" s="189">
        <f t="shared" si="55"/>
        <v>0</v>
      </c>
      <c r="V217" s="189">
        <f t="shared" si="56"/>
        <v>0</v>
      </c>
      <c r="W217" s="189">
        <f t="shared" si="57"/>
        <v>9.0909090909090912E-2</v>
      </c>
      <c r="X217" s="189">
        <f t="shared" si="58"/>
        <v>0.20779220779220781</v>
      </c>
      <c r="Y217" s="189">
        <f t="shared" si="59"/>
        <v>0</v>
      </c>
      <c r="Z217" s="189">
        <f t="shared" si="60"/>
        <v>7.792207792207792E-2</v>
      </c>
      <c r="AA217" s="189">
        <f t="shared" si="61"/>
        <v>3.896103896103896E-2</v>
      </c>
      <c r="AB217" s="189">
        <f t="shared" si="62"/>
        <v>3.896103896103896E-2</v>
      </c>
      <c r="AC217" s="189">
        <f t="shared" si="63"/>
        <v>2.5974025974025976E-2</v>
      </c>
      <c r="AD217" s="189">
        <f t="shared" si="64"/>
        <v>0.18181818181818182</v>
      </c>
      <c r="AE217" s="189">
        <f t="shared" si="65"/>
        <v>0.1038961038961039</v>
      </c>
      <c r="AF217" s="189">
        <f t="shared" si="52"/>
        <v>4.0436928894023736E-3</v>
      </c>
      <c r="AG217" s="189">
        <f>town_establishments[[#This Row],[share of state establishments]]/($AF$250-$AF$249)</f>
        <v>4.1827367048726163E-3</v>
      </c>
      <c r="AH217" s="189">
        <f>town_establishments[[#This Row],[share of state establishments (no residual)]]/(INDEX(regional_establishments[share of state establishments],MATCH(town_establishments[[#This Row],[Regional Planning Commission]],regional_establishments[Regional Planning Commission],0)))</f>
        <v>3.7949728930507638E-2</v>
      </c>
    </row>
    <row r="218" spans="1:34" x14ac:dyDescent="0.25">
      <c r="A218" t="s">
        <v>434</v>
      </c>
      <c r="B218" t="str">
        <f>INDEX(town_population[Regional Planning Commission],MATCH(town_establishments[[#This Row],[Municipality]],town_population[Municipality],0))</f>
        <v>Central Vermont Regional Planning Commission</v>
      </c>
      <c r="C218">
        <v>2</v>
      </c>
      <c r="D218">
        <v>1</v>
      </c>
      <c r="E218">
        <v>1</v>
      </c>
      <c r="I218">
        <v>1</v>
      </c>
      <c r="L218">
        <v>1</v>
      </c>
      <c r="M218">
        <v>3</v>
      </c>
      <c r="Q218">
        <f t="shared" si="50"/>
        <v>9</v>
      </c>
      <c r="R218" s="189">
        <f t="shared" si="51"/>
        <v>0.22222222222222221</v>
      </c>
      <c r="S218" s="189">
        <f t="shared" si="53"/>
        <v>0.1111111111111111</v>
      </c>
      <c r="T218" s="189">
        <f t="shared" si="54"/>
        <v>0.1111111111111111</v>
      </c>
      <c r="U218" s="189">
        <f t="shared" si="55"/>
        <v>0</v>
      </c>
      <c r="V218" s="189">
        <f t="shared" si="56"/>
        <v>0</v>
      </c>
      <c r="W218" s="189">
        <f t="shared" si="57"/>
        <v>0</v>
      </c>
      <c r="X218" s="189">
        <f t="shared" si="58"/>
        <v>0.1111111111111111</v>
      </c>
      <c r="Y218" s="189">
        <f t="shared" si="59"/>
        <v>0</v>
      </c>
      <c r="Z218" s="189">
        <f t="shared" si="60"/>
        <v>0</v>
      </c>
      <c r="AA218" s="189">
        <f t="shared" si="61"/>
        <v>0.1111111111111111</v>
      </c>
      <c r="AB218" s="189">
        <f t="shared" si="62"/>
        <v>0.33333333333333331</v>
      </c>
      <c r="AC218" s="189">
        <f t="shared" si="63"/>
        <v>0</v>
      </c>
      <c r="AD218" s="189">
        <f t="shared" si="64"/>
        <v>0</v>
      </c>
      <c r="AE218" s="189">
        <f t="shared" si="65"/>
        <v>0</v>
      </c>
      <c r="AF218" s="189">
        <f t="shared" si="52"/>
        <v>4.7263942863144627E-4</v>
      </c>
      <c r="AG218" s="189">
        <f>town_establishments[[#This Row],[share of state establishments]]/($AF$250-$AF$249)</f>
        <v>4.8889130316692926E-4</v>
      </c>
      <c r="AH218" s="189">
        <f>town_establishments[[#This Row],[share of state establishments (no residual)]]/(INDEX(regional_establishments[share of state establishments],MATCH(town_establishments[[#This Row],[Regional Planning Commission]],regional_establishments[Regional Planning Commission],0)))</f>
        <v>4.4356826022671266E-3</v>
      </c>
    </row>
    <row r="219" spans="1:34" x14ac:dyDescent="0.25">
      <c r="A219" t="s">
        <v>435</v>
      </c>
      <c r="B219" t="str">
        <f>INDEX(town_population[Regional Planning Commission],MATCH(town_establishments[[#This Row],[Municipality]],town_population[Municipality],0))</f>
        <v>Central Vermont Regional Planning Commission</v>
      </c>
      <c r="C219">
        <v>16</v>
      </c>
      <c r="D219">
        <v>41</v>
      </c>
      <c r="E219">
        <v>2</v>
      </c>
      <c r="F219">
        <v>3</v>
      </c>
      <c r="G219">
        <v>8</v>
      </c>
      <c r="H219">
        <v>3</v>
      </c>
      <c r="I219">
        <v>53</v>
      </c>
      <c r="J219">
        <v>2</v>
      </c>
      <c r="K219">
        <v>27</v>
      </c>
      <c r="L219">
        <v>6</v>
      </c>
      <c r="M219">
        <v>23</v>
      </c>
      <c r="N219">
        <v>6</v>
      </c>
      <c r="O219">
        <v>24</v>
      </c>
      <c r="P219">
        <v>20</v>
      </c>
      <c r="Q219">
        <f t="shared" si="50"/>
        <v>234</v>
      </c>
      <c r="R219" s="189">
        <f t="shared" si="51"/>
        <v>6.8376068376068383E-2</v>
      </c>
      <c r="S219" s="189">
        <f t="shared" si="53"/>
        <v>0.1752136752136752</v>
      </c>
      <c r="T219" s="189">
        <f t="shared" si="54"/>
        <v>8.5470085470085479E-3</v>
      </c>
      <c r="U219" s="189">
        <f t="shared" si="55"/>
        <v>1.282051282051282E-2</v>
      </c>
      <c r="V219" s="189">
        <f t="shared" si="56"/>
        <v>3.4188034188034191E-2</v>
      </c>
      <c r="W219" s="189">
        <f t="shared" si="57"/>
        <v>1.282051282051282E-2</v>
      </c>
      <c r="X219" s="189">
        <f t="shared" si="58"/>
        <v>0.2264957264957265</v>
      </c>
      <c r="Y219" s="189">
        <f t="shared" si="59"/>
        <v>8.5470085470085479E-3</v>
      </c>
      <c r="Z219" s="189">
        <f t="shared" si="60"/>
        <v>0.11538461538461539</v>
      </c>
      <c r="AA219" s="189">
        <f t="shared" si="61"/>
        <v>2.564102564102564E-2</v>
      </c>
      <c r="AB219" s="189">
        <f t="shared" si="62"/>
        <v>9.8290598290598288E-2</v>
      </c>
      <c r="AC219" s="189">
        <f t="shared" si="63"/>
        <v>2.564102564102564E-2</v>
      </c>
      <c r="AD219" s="189">
        <f t="shared" si="64"/>
        <v>0.10256410256410256</v>
      </c>
      <c r="AE219" s="189">
        <f t="shared" si="65"/>
        <v>8.5470085470085472E-2</v>
      </c>
      <c r="AF219" s="189">
        <f t="shared" si="52"/>
        <v>1.2288625144417604E-2</v>
      </c>
      <c r="AG219" s="189">
        <f>town_establishments[[#This Row],[share of state establishments]]/($AF$250-$AF$249)</f>
        <v>1.271117388234016E-2</v>
      </c>
      <c r="AH219" s="189">
        <f>town_establishments[[#This Row],[share of state establishments (no residual)]]/(INDEX(regional_establishments[share of state establishments],MATCH(town_establishments[[#This Row],[Regional Planning Commission]],regional_establishments[Regional Planning Commission],0)))</f>
        <v>0.1153277476589453</v>
      </c>
    </row>
    <row r="220" spans="1:34" x14ac:dyDescent="0.25">
      <c r="A220" t="s">
        <v>436</v>
      </c>
      <c r="B220" t="str">
        <f>INDEX(town_population[Regional Planning Commission],MATCH(town_establishments[[#This Row],[Municipality]],town_population[Municipality],0))</f>
        <v>Northeastern Vermont Development Association</v>
      </c>
      <c r="C220">
        <v>5</v>
      </c>
      <c r="E220">
        <v>1</v>
      </c>
      <c r="F220">
        <v>1</v>
      </c>
      <c r="I220">
        <v>2</v>
      </c>
      <c r="K220">
        <v>1</v>
      </c>
      <c r="L220">
        <v>1</v>
      </c>
      <c r="M220">
        <v>1</v>
      </c>
      <c r="O220">
        <v>1</v>
      </c>
      <c r="P220">
        <v>2</v>
      </c>
      <c r="Q220">
        <f t="shared" si="50"/>
        <v>15</v>
      </c>
      <c r="R220" s="189">
        <f t="shared" si="51"/>
        <v>0.33333333333333331</v>
      </c>
      <c r="S220" s="189">
        <f t="shared" si="53"/>
        <v>0</v>
      </c>
      <c r="T220" s="189">
        <f t="shared" si="54"/>
        <v>6.6666666666666666E-2</v>
      </c>
      <c r="U220" s="189">
        <f t="shared" si="55"/>
        <v>6.6666666666666666E-2</v>
      </c>
      <c r="V220" s="189">
        <f t="shared" si="56"/>
        <v>0</v>
      </c>
      <c r="W220" s="189">
        <f t="shared" si="57"/>
        <v>0</v>
      </c>
      <c r="X220" s="189">
        <f t="shared" si="58"/>
        <v>0.13333333333333333</v>
      </c>
      <c r="Y220" s="189">
        <f t="shared" si="59"/>
        <v>0</v>
      </c>
      <c r="Z220" s="189">
        <f t="shared" si="60"/>
        <v>6.6666666666666666E-2</v>
      </c>
      <c r="AA220" s="189">
        <f t="shared" si="61"/>
        <v>6.6666666666666666E-2</v>
      </c>
      <c r="AB220" s="189">
        <f t="shared" si="62"/>
        <v>6.6666666666666666E-2</v>
      </c>
      <c r="AC220" s="189">
        <f t="shared" si="63"/>
        <v>0</v>
      </c>
      <c r="AD220" s="189">
        <f t="shared" si="64"/>
        <v>6.6666666666666666E-2</v>
      </c>
      <c r="AE220" s="189">
        <f t="shared" si="65"/>
        <v>0.13333333333333333</v>
      </c>
      <c r="AF220" s="189">
        <f t="shared" si="52"/>
        <v>7.8773238105241041E-4</v>
      </c>
      <c r="AG220" s="189">
        <f>town_establishments[[#This Row],[share of state establishments]]/($AF$250-$AF$249)</f>
        <v>8.1481883861154862E-4</v>
      </c>
      <c r="AH220" s="189">
        <f>town_establishments[[#This Row],[share of state establishments (no residual)]]/(INDEX(regional_establishments[share of state establishments],MATCH(town_establishments[[#This Row],[Regional Planning Commission]],regional_establishments[Regional Planning Commission],0)))</f>
        <v>1.0281014393420149E-2</v>
      </c>
    </row>
    <row r="221" spans="1:34" x14ac:dyDescent="0.25">
      <c r="A221" t="s">
        <v>437</v>
      </c>
      <c r="B221" t="str">
        <f>INDEX(town_population[Regional Planning Commission],MATCH(town_establishments[[#This Row],[Municipality]],town_population[Municipality],0))</f>
        <v>Lamoille County Planning Commission</v>
      </c>
      <c r="D221">
        <v>1</v>
      </c>
      <c r="E221">
        <v>1</v>
      </c>
      <c r="K221">
        <v>2</v>
      </c>
      <c r="L221">
        <v>1</v>
      </c>
      <c r="Q221">
        <f t="shared" si="50"/>
        <v>5</v>
      </c>
      <c r="R221" s="189">
        <f t="shared" si="51"/>
        <v>0</v>
      </c>
      <c r="S221" s="189">
        <f t="shared" si="53"/>
        <v>0.2</v>
      </c>
      <c r="T221" s="189">
        <f t="shared" si="54"/>
        <v>0.2</v>
      </c>
      <c r="U221" s="189">
        <f t="shared" si="55"/>
        <v>0</v>
      </c>
      <c r="V221" s="189">
        <f t="shared" si="56"/>
        <v>0</v>
      </c>
      <c r="W221" s="189">
        <f t="shared" si="57"/>
        <v>0</v>
      </c>
      <c r="X221" s="189">
        <f t="shared" si="58"/>
        <v>0</v>
      </c>
      <c r="Y221" s="189">
        <f t="shared" si="59"/>
        <v>0</v>
      </c>
      <c r="Z221" s="189">
        <f t="shared" si="60"/>
        <v>0.4</v>
      </c>
      <c r="AA221" s="189">
        <f t="shared" si="61"/>
        <v>0.2</v>
      </c>
      <c r="AB221" s="189">
        <f t="shared" si="62"/>
        <v>0</v>
      </c>
      <c r="AC221" s="189">
        <f t="shared" si="63"/>
        <v>0</v>
      </c>
      <c r="AD221" s="189">
        <f t="shared" si="64"/>
        <v>0</v>
      </c>
      <c r="AE221" s="189">
        <f t="shared" si="65"/>
        <v>0</v>
      </c>
      <c r="AF221" s="189">
        <f t="shared" si="52"/>
        <v>2.6257746035080349E-4</v>
      </c>
      <c r="AG221" s="189">
        <f>town_establishments[[#This Row],[share of state establishments]]/($AF$250-$AF$249)</f>
        <v>2.7160627953718287E-4</v>
      </c>
      <c r="AH221" s="189">
        <f>town_establishments[[#This Row],[share of state establishments (no residual)]]/(INDEX(regional_establishments[share of state establishments],MATCH(town_establishments[[#This Row],[Regional Planning Commission]],regional_establishments[Regional Planning Commission],0)))</f>
        <v>6.1274509803921559E-3</v>
      </c>
    </row>
    <row r="222" spans="1:34" x14ac:dyDescent="0.25">
      <c r="A222" t="s">
        <v>438</v>
      </c>
      <c r="B222" t="str">
        <f>INDEX(town_population[Regional Planning Commission],MATCH(town_establishments[[#This Row],[Municipality]],town_population[Municipality],0))</f>
        <v>Southern Windsor County Regional Planning Commission</v>
      </c>
      <c r="C222">
        <v>5</v>
      </c>
      <c r="D222">
        <v>6</v>
      </c>
      <c r="E222">
        <v>2</v>
      </c>
      <c r="F222">
        <v>1</v>
      </c>
      <c r="G222">
        <v>1</v>
      </c>
      <c r="H222">
        <v>3</v>
      </c>
      <c r="I222">
        <v>6</v>
      </c>
      <c r="J222">
        <v>1</v>
      </c>
      <c r="K222">
        <v>6</v>
      </c>
      <c r="L222">
        <v>1</v>
      </c>
      <c r="M222">
        <v>2</v>
      </c>
      <c r="N222">
        <v>1</v>
      </c>
      <c r="O222">
        <v>8</v>
      </c>
      <c r="P222">
        <v>3</v>
      </c>
      <c r="Q222">
        <f t="shared" si="50"/>
        <v>46</v>
      </c>
      <c r="R222" s="189">
        <f t="shared" si="51"/>
        <v>0.10869565217391304</v>
      </c>
      <c r="S222" s="189">
        <f t="shared" si="53"/>
        <v>0.13043478260869565</v>
      </c>
      <c r="T222" s="189">
        <f t="shared" si="54"/>
        <v>4.3478260869565216E-2</v>
      </c>
      <c r="U222" s="189">
        <f t="shared" si="55"/>
        <v>2.1739130434782608E-2</v>
      </c>
      <c r="V222" s="189">
        <f t="shared" si="56"/>
        <v>2.1739130434782608E-2</v>
      </c>
      <c r="W222" s="189">
        <f t="shared" si="57"/>
        <v>6.5217391304347824E-2</v>
      </c>
      <c r="X222" s="189">
        <f t="shared" si="58"/>
        <v>0.13043478260869565</v>
      </c>
      <c r="Y222" s="189">
        <f t="shared" si="59"/>
        <v>2.1739130434782608E-2</v>
      </c>
      <c r="Z222" s="189">
        <f t="shared" si="60"/>
        <v>0.13043478260869565</v>
      </c>
      <c r="AA222" s="189">
        <f t="shared" si="61"/>
        <v>2.1739130434782608E-2</v>
      </c>
      <c r="AB222" s="189">
        <f t="shared" si="62"/>
        <v>4.3478260869565216E-2</v>
      </c>
      <c r="AC222" s="189">
        <f t="shared" si="63"/>
        <v>2.1739130434782608E-2</v>
      </c>
      <c r="AD222" s="189">
        <f t="shared" si="64"/>
        <v>0.17391304347826086</v>
      </c>
      <c r="AE222" s="189">
        <f t="shared" si="65"/>
        <v>6.5217391304347824E-2</v>
      </c>
      <c r="AF222" s="189">
        <f t="shared" si="52"/>
        <v>2.4157126352273919E-3</v>
      </c>
      <c r="AG222" s="189">
        <f>town_establishments[[#This Row],[share of state establishments]]/($AF$250-$AF$249)</f>
        <v>2.4987777717420823E-3</v>
      </c>
      <c r="AH222" s="189">
        <f>town_establishments[[#This Row],[share of state establishments (no residual)]]/(INDEX(regional_establishments[share of state establishments],MATCH(town_establishments[[#This Row],[Regional Planning Commission]],regional_establishments[Regional Planning Commission],0)))</f>
        <v>7.301587301587302E-2</v>
      </c>
    </row>
    <row r="223" spans="1:34" x14ac:dyDescent="0.25">
      <c r="A223" t="s">
        <v>439</v>
      </c>
      <c r="B223" t="str">
        <f>INDEX(town_population[Regional Planning Commission],MATCH(town_establishments[[#This Row],[Municipality]],town_population[Municipality],0))</f>
        <v>Rutland Regional Planning Commission</v>
      </c>
      <c r="C223">
        <v>1</v>
      </c>
      <c r="D223">
        <v>3</v>
      </c>
      <c r="E223">
        <v>2</v>
      </c>
      <c r="G223">
        <v>2</v>
      </c>
      <c r="H223">
        <v>2</v>
      </c>
      <c r="I223">
        <v>2</v>
      </c>
      <c r="K223">
        <v>1</v>
      </c>
      <c r="L223">
        <v>1</v>
      </c>
      <c r="M223">
        <v>1</v>
      </c>
      <c r="N223">
        <v>1</v>
      </c>
      <c r="P223">
        <v>3</v>
      </c>
      <c r="Q223">
        <f t="shared" si="50"/>
        <v>19</v>
      </c>
      <c r="R223" s="189">
        <f t="shared" si="51"/>
        <v>5.2631578947368418E-2</v>
      </c>
      <c r="S223" s="189">
        <f t="shared" si="53"/>
        <v>0.15789473684210525</v>
      </c>
      <c r="T223" s="189">
        <f t="shared" si="54"/>
        <v>0.10526315789473684</v>
      </c>
      <c r="U223" s="189">
        <f t="shared" si="55"/>
        <v>0</v>
      </c>
      <c r="V223" s="189">
        <f t="shared" si="56"/>
        <v>0.10526315789473684</v>
      </c>
      <c r="W223" s="189">
        <f t="shared" si="57"/>
        <v>0.10526315789473684</v>
      </c>
      <c r="X223" s="189">
        <f t="shared" si="58"/>
        <v>0.10526315789473684</v>
      </c>
      <c r="Y223" s="189">
        <f t="shared" si="59"/>
        <v>0</v>
      </c>
      <c r="Z223" s="189">
        <f t="shared" si="60"/>
        <v>5.2631578947368418E-2</v>
      </c>
      <c r="AA223" s="189">
        <f t="shared" si="61"/>
        <v>5.2631578947368418E-2</v>
      </c>
      <c r="AB223" s="189">
        <f t="shared" si="62"/>
        <v>5.2631578947368418E-2</v>
      </c>
      <c r="AC223" s="189">
        <f t="shared" si="63"/>
        <v>5.2631578947368418E-2</v>
      </c>
      <c r="AD223" s="189">
        <f t="shared" si="64"/>
        <v>0</v>
      </c>
      <c r="AE223" s="189">
        <f t="shared" si="65"/>
        <v>0.15789473684210525</v>
      </c>
      <c r="AF223" s="189">
        <f t="shared" si="52"/>
        <v>9.9779434933305335E-4</v>
      </c>
      <c r="AG223" s="189">
        <f>town_establishments[[#This Row],[share of state establishments]]/($AF$250-$AF$249)</f>
        <v>1.0321038622412952E-3</v>
      </c>
      <c r="AH223" s="189">
        <f>town_establishments[[#This Row],[share of state establishments (no residual)]]/(INDEX(regional_establishments[share of state establishments],MATCH(town_establishments[[#This Row],[Regional Planning Commission]],regional_establishments[Regional Planning Commission],0)))</f>
        <v>1.0686164229471317E-2</v>
      </c>
    </row>
    <row r="224" spans="1:34" x14ac:dyDescent="0.25">
      <c r="A224" t="s">
        <v>440</v>
      </c>
      <c r="B224" t="str">
        <f>INDEX(town_population[Regional Planning Commission],MATCH(town_establishments[[#This Row],[Municipality]],town_population[Municipality],0))</f>
        <v>Two Rivers-Ottauquechee Regional Commission</v>
      </c>
      <c r="K224">
        <v>0</v>
      </c>
      <c r="L224">
        <v>1</v>
      </c>
      <c r="M224">
        <v>1</v>
      </c>
      <c r="P224">
        <v>1</v>
      </c>
      <c r="Q224">
        <f t="shared" si="50"/>
        <v>3</v>
      </c>
      <c r="R224" s="189">
        <f t="shared" si="51"/>
        <v>0</v>
      </c>
      <c r="S224" s="189">
        <f t="shared" si="53"/>
        <v>0</v>
      </c>
      <c r="T224" s="189">
        <f t="shared" si="54"/>
        <v>0</v>
      </c>
      <c r="U224" s="189">
        <f t="shared" si="55"/>
        <v>0</v>
      </c>
      <c r="V224" s="189">
        <f t="shared" si="56"/>
        <v>0</v>
      </c>
      <c r="W224" s="189">
        <f t="shared" si="57"/>
        <v>0</v>
      </c>
      <c r="X224" s="189">
        <f t="shared" si="58"/>
        <v>0</v>
      </c>
      <c r="Y224" s="189">
        <f t="shared" si="59"/>
        <v>0</v>
      </c>
      <c r="Z224" s="189">
        <f t="shared" si="60"/>
        <v>0</v>
      </c>
      <c r="AA224" s="189">
        <f t="shared" si="61"/>
        <v>0.33333333333333331</v>
      </c>
      <c r="AB224" s="189">
        <f t="shared" si="62"/>
        <v>0.33333333333333331</v>
      </c>
      <c r="AC224" s="189">
        <f t="shared" si="63"/>
        <v>0</v>
      </c>
      <c r="AD224" s="189">
        <f t="shared" si="64"/>
        <v>0</v>
      </c>
      <c r="AE224" s="189">
        <f t="shared" si="65"/>
        <v>0.33333333333333331</v>
      </c>
      <c r="AF224" s="189">
        <f t="shared" si="52"/>
        <v>1.575464762104821E-4</v>
      </c>
      <c r="AG224" s="189">
        <f>town_establishments[[#This Row],[share of state establishments]]/($AF$250-$AF$249)</f>
        <v>1.6296376772230973E-4</v>
      </c>
      <c r="AH224" s="189">
        <f>town_establishments[[#This Row],[share of state establishments (no residual)]]/(INDEX(regional_establishments[share of state establishments],MATCH(town_establishments[[#This Row],[Regional Planning Commission]],regional_establishments[Regional Planning Commission],0)))</f>
        <v>1.8518518518518519E-3</v>
      </c>
    </row>
    <row r="225" spans="1:34" x14ac:dyDescent="0.25">
      <c r="A225" t="s">
        <v>442</v>
      </c>
      <c r="B225" t="str">
        <f>INDEX(town_population[Regional Planning Commission],MATCH(town_establishments[[#This Row],[Municipality]],town_population[Municipality],0))</f>
        <v>Rutland Regional Planning Commission</v>
      </c>
      <c r="C225">
        <v>6</v>
      </c>
      <c r="D225">
        <v>12</v>
      </c>
      <c r="E225">
        <v>5</v>
      </c>
      <c r="F225">
        <v>1</v>
      </c>
      <c r="I225">
        <v>3</v>
      </c>
      <c r="K225">
        <v>5</v>
      </c>
      <c r="L225">
        <v>1</v>
      </c>
      <c r="M225">
        <v>1</v>
      </c>
      <c r="N225">
        <v>2</v>
      </c>
      <c r="O225">
        <v>6</v>
      </c>
      <c r="P225">
        <v>8</v>
      </c>
      <c r="Q225">
        <f t="shared" si="50"/>
        <v>50</v>
      </c>
      <c r="R225" s="189">
        <f t="shared" si="51"/>
        <v>0.12</v>
      </c>
      <c r="S225" s="189">
        <f t="shared" si="53"/>
        <v>0.24</v>
      </c>
      <c r="T225" s="189">
        <f t="shared" si="54"/>
        <v>0.1</v>
      </c>
      <c r="U225" s="189">
        <f t="shared" si="55"/>
        <v>0.02</v>
      </c>
      <c r="V225" s="189">
        <f t="shared" si="56"/>
        <v>0</v>
      </c>
      <c r="W225" s="189">
        <f t="shared" si="57"/>
        <v>0</v>
      </c>
      <c r="X225" s="189">
        <f t="shared" si="58"/>
        <v>0.06</v>
      </c>
      <c r="Y225" s="189">
        <f t="shared" si="59"/>
        <v>0</v>
      </c>
      <c r="Z225" s="189">
        <f t="shared" si="60"/>
        <v>0.1</v>
      </c>
      <c r="AA225" s="189">
        <f t="shared" si="61"/>
        <v>0.02</v>
      </c>
      <c r="AB225" s="189">
        <f t="shared" si="62"/>
        <v>0.02</v>
      </c>
      <c r="AC225" s="189">
        <f t="shared" si="63"/>
        <v>0.04</v>
      </c>
      <c r="AD225" s="189">
        <f t="shared" si="64"/>
        <v>0.12</v>
      </c>
      <c r="AE225" s="189">
        <f t="shared" si="65"/>
        <v>0.16</v>
      </c>
      <c r="AF225" s="189">
        <f t="shared" si="52"/>
        <v>2.6257746035080348E-3</v>
      </c>
      <c r="AG225" s="189">
        <f>town_establishments[[#This Row],[share of state establishments]]/($AF$250-$AF$249)</f>
        <v>2.7160627953718287E-3</v>
      </c>
      <c r="AH225" s="189">
        <f>town_establishments[[#This Row],[share of state establishments (no residual)]]/(INDEX(regional_establishments[share of state establishments],MATCH(town_establishments[[#This Row],[Regional Planning Commission]],regional_establishments[Regional Planning Commission],0)))</f>
        <v>2.8121484814398197E-2</v>
      </c>
    </row>
    <row r="226" spans="1:34" x14ac:dyDescent="0.25">
      <c r="A226" t="s">
        <v>444</v>
      </c>
      <c r="B226" t="str">
        <f>INDEX(town_population[Regional Planning Commission],MATCH(town_establishments[[#This Row],[Municipality]],town_population[Municipality],0))</f>
        <v>Northeastern Vermont Development Association</v>
      </c>
      <c r="D226">
        <v>2</v>
      </c>
      <c r="H226">
        <v>1</v>
      </c>
      <c r="I226">
        <v>1</v>
      </c>
      <c r="K226">
        <v>1</v>
      </c>
      <c r="M226">
        <v>1</v>
      </c>
      <c r="P226">
        <v>1</v>
      </c>
      <c r="Q226">
        <f t="shared" si="50"/>
        <v>7</v>
      </c>
      <c r="R226" s="189">
        <f t="shared" si="51"/>
        <v>0</v>
      </c>
      <c r="S226" s="189">
        <f t="shared" si="53"/>
        <v>0.2857142857142857</v>
      </c>
      <c r="T226" s="189">
        <f t="shared" si="54"/>
        <v>0</v>
      </c>
      <c r="U226" s="189">
        <f t="shared" si="55"/>
        <v>0</v>
      </c>
      <c r="V226" s="189">
        <f t="shared" si="56"/>
        <v>0</v>
      </c>
      <c r="W226" s="189">
        <f t="shared" si="57"/>
        <v>0.14285714285714285</v>
      </c>
      <c r="X226" s="189">
        <f t="shared" si="58"/>
        <v>0.14285714285714285</v>
      </c>
      <c r="Y226" s="189">
        <f t="shared" si="59"/>
        <v>0</v>
      </c>
      <c r="Z226" s="189">
        <f t="shared" si="60"/>
        <v>0.14285714285714285</v>
      </c>
      <c r="AA226" s="189">
        <f t="shared" si="61"/>
        <v>0</v>
      </c>
      <c r="AB226" s="189">
        <f t="shared" si="62"/>
        <v>0.14285714285714285</v>
      </c>
      <c r="AC226" s="189">
        <f t="shared" si="63"/>
        <v>0</v>
      </c>
      <c r="AD226" s="189">
        <f t="shared" si="64"/>
        <v>0</v>
      </c>
      <c r="AE226" s="189">
        <f t="shared" si="65"/>
        <v>0.14285714285714285</v>
      </c>
      <c r="AF226" s="189">
        <f t="shared" si="52"/>
        <v>3.676084444911249E-4</v>
      </c>
      <c r="AG226" s="189">
        <f>town_establishments[[#This Row],[share of state establishments]]/($AF$250-$AF$249)</f>
        <v>3.8024879135205606E-4</v>
      </c>
      <c r="AH226" s="189">
        <f>town_establishments[[#This Row],[share of state establishments (no residual)]]/(INDEX(regional_establishments[share of state establishments],MATCH(town_establishments[[#This Row],[Regional Planning Commission]],regional_establishments[Regional Planning Commission],0)))</f>
        <v>4.7978067169294038E-3</v>
      </c>
    </row>
    <row r="227" spans="1:34" x14ac:dyDescent="0.25">
      <c r="A227" t="s">
        <v>445</v>
      </c>
      <c r="B227" t="str">
        <f>INDEX(town_population[Regional Planning Commission],MATCH(town_establishments[[#This Row],[Municipality]],town_population[Municipality],0))</f>
        <v>Chittenden County Regional Planning Commission</v>
      </c>
      <c r="C227">
        <v>2</v>
      </c>
      <c r="D227">
        <v>5</v>
      </c>
      <c r="E227">
        <v>2</v>
      </c>
      <c r="H227">
        <v>1</v>
      </c>
      <c r="I227">
        <v>6</v>
      </c>
      <c r="K227">
        <v>5</v>
      </c>
      <c r="L227">
        <v>1</v>
      </c>
      <c r="P227">
        <v>4</v>
      </c>
      <c r="Q227">
        <f t="shared" si="50"/>
        <v>26</v>
      </c>
      <c r="R227" s="189">
        <f t="shared" si="51"/>
        <v>7.6923076923076927E-2</v>
      </c>
      <c r="S227" s="189">
        <f t="shared" si="53"/>
        <v>0.19230769230769232</v>
      </c>
      <c r="T227" s="189">
        <f t="shared" si="54"/>
        <v>7.6923076923076927E-2</v>
      </c>
      <c r="U227" s="189">
        <f t="shared" si="55"/>
        <v>0</v>
      </c>
      <c r="V227" s="189">
        <f t="shared" si="56"/>
        <v>0</v>
      </c>
      <c r="W227" s="189">
        <f t="shared" si="57"/>
        <v>3.8461538461538464E-2</v>
      </c>
      <c r="X227" s="189">
        <f t="shared" si="58"/>
        <v>0.23076923076923078</v>
      </c>
      <c r="Y227" s="189">
        <f t="shared" si="59"/>
        <v>0</v>
      </c>
      <c r="Z227" s="189">
        <f t="shared" si="60"/>
        <v>0.19230769230769232</v>
      </c>
      <c r="AA227" s="189">
        <f t="shared" si="61"/>
        <v>3.8461538461538464E-2</v>
      </c>
      <c r="AB227" s="189">
        <f t="shared" si="62"/>
        <v>0</v>
      </c>
      <c r="AC227" s="189">
        <f t="shared" si="63"/>
        <v>0</v>
      </c>
      <c r="AD227" s="189">
        <f t="shared" si="64"/>
        <v>0</v>
      </c>
      <c r="AE227" s="189">
        <f t="shared" si="65"/>
        <v>0.15384615384615385</v>
      </c>
      <c r="AF227" s="189">
        <f t="shared" si="52"/>
        <v>1.3654027938241782E-3</v>
      </c>
      <c r="AG227" s="189">
        <f>town_establishments[[#This Row],[share of state establishments]]/($AF$250-$AF$249)</f>
        <v>1.4123526535933511E-3</v>
      </c>
      <c r="AH227" s="189">
        <f>town_establishments[[#This Row],[share of state establishments (no residual)]]/(INDEX(regional_establishments[share of state establishments],MATCH(town_establishments[[#This Row],[Regional Planning Commission]],regional_establishments[Regional Planning Commission],0)))</f>
        <v>4.7979331980070134E-3</v>
      </c>
    </row>
    <row r="228" spans="1:34" x14ac:dyDescent="0.25">
      <c r="A228" t="s">
        <v>441</v>
      </c>
      <c r="B228" t="str">
        <f>INDEX(town_population[Regional Planning Commission],MATCH(town_establishments[[#This Row],[Municipality]],town_population[Municipality],0))</f>
        <v>Rutland Regional Planning Commission</v>
      </c>
      <c r="K228">
        <v>1</v>
      </c>
      <c r="N228">
        <v>1</v>
      </c>
      <c r="Q228">
        <f t="shared" si="50"/>
        <v>2</v>
      </c>
      <c r="R228" s="189">
        <f t="shared" si="51"/>
        <v>0</v>
      </c>
      <c r="S228" s="189">
        <f t="shared" si="53"/>
        <v>0</v>
      </c>
      <c r="T228" s="189">
        <f t="shared" si="54"/>
        <v>0</v>
      </c>
      <c r="U228" s="189">
        <f t="shared" si="55"/>
        <v>0</v>
      </c>
      <c r="V228" s="189">
        <f t="shared" si="56"/>
        <v>0</v>
      </c>
      <c r="W228" s="189">
        <f t="shared" si="57"/>
        <v>0</v>
      </c>
      <c r="X228" s="189">
        <f t="shared" si="58"/>
        <v>0</v>
      </c>
      <c r="Y228" s="189">
        <f t="shared" si="59"/>
        <v>0</v>
      </c>
      <c r="Z228" s="189">
        <f t="shared" si="60"/>
        <v>0.5</v>
      </c>
      <c r="AA228" s="189">
        <f t="shared" si="61"/>
        <v>0</v>
      </c>
      <c r="AB228" s="189">
        <f t="shared" si="62"/>
        <v>0</v>
      </c>
      <c r="AC228" s="189">
        <f t="shared" si="63"/>
        <v>0.5</v>
      </c>
      <c r="AD228" s="189">
        <f t="shared" si="64"/>
        <v>0</v>
      </c>
      <c r="AE228" s="189">
        <f t="shared" si="65"/>
        <v>0</v>
      </c>
      <c r="AF228" s="189">
        <f t="shared" si="52"/>
        <v>1.0503098414032139E-4</v>
      </c>
      <c r="AG228" s="189">
        <f>town_establishments[[#This Row],[share of state establishments]]/($AF$250-$AF$249)</f>
        <v>1.0864251181487315E-4</v>
      </c>
      <c r="AH228" s="189">
        <f>town_establishments[[#This Row],[share of state establishments (no residual)]]/(INDEX(regional_establishments[share of state establishments],MATCH(town_establishments[[#This Row],[Regional Planning Commission]],regional_establishments[Regional Planning Commission],0)))</f>
        <v>1.1248593925759279E-3</v>
      </c>
    </row>
    <row r="229" spans="1:34" x14ac:dyDescent="0.25">
      <c r="A229" t="s">
        <v>446</v>
      </c>
      <c r="B229" t="str">
        <f>INDEX(town_population[Regional Planning Commission],MATCH(town_establishments[[#This Row],[Municipality]],town_population[Municipality],0))</f>
        <v>Windham Regional Commission</v>
      </c>
      <c r="C229">
        <v>5</v>
      </c>
      <c r="D229">
        <v>10</v>
      </c>
      <c r="E229">
        <v>4</v>
      </c>
      <c r="F229">
        <v>1</v>
      </c>
      <c r="G229">
        <v>1</v>
      </c>
      <c r="H229">
        <v>3</v>
      </c>
      <c r="I229">
        <v>4</v>
      </c>
      <c r="K229">
        <v>6</v>
      </c>
      <c r="L229">
        <v>2</v>
      </c>
      <c r="M229">
        <v>5</v>
      </c>
      <c r="N229">
        <v>1</v>
      </c>
      <c r="O229">
        <v>2</v>
      </c>
      <c r="P229">
        <v>9</v>
      </c>
      <c r="Q229">
        <f t="shared" si="50"/>
        <v>53</v>
      </c>
      <c r="R229" s="189">
        <f t="shared" si="51"/>
        <v>9.4339622641509441E-2</v>
      </c>
      <c r="S229" s="189">
        <f t="shared" si="53"/>
        <v>0.18867924528301888</v>
      </c>
      <c r="T229" s="189">
        <f t="shared" si="54"/>
        <v>7.5471698113207544E-2</v>
      </c>
      <c r="U229" s="189">
        <f t="shared" si="55"/>
        <v>1.8867924528301886E-2</v>
      </c>
      <c r="V229" s="189">
        <f t="shared" si="56"/>
        <v>1.8867924528301886E-2</v>
      </c>
      <c r="W229" s="189">
        <f t="shared" si="57"/>
        <v>5.6603773584905662E-2</v>
      </c>
      <c r="X229" s="189">
        <f t="shared" si="58"/>
        <v>7.5471698113207544E-2</v>
      </c>
      <c r="Y229" s="189">
        <f t="shared" si="59"/>
        <v>0</v>
      </c>
      <c r="Z229" s="189">
        <f t="shared" si="60"/>
        <v>0.11320754716981132</v>
      </c>
      <c r="AA229" s="189">
        <f t="shared" si="61"/>
        <v>3.7735849056603772E-2</v>
      </c>
      <c r="AB229" s="189">
        <f t="shared" si="62"/>
        <v>9.4339622641509441E-2</v>
      </c>
      <c r="AC229" s="189">
        <f t="shared" si="63"/>
        <v>1.8867924528301886E-2</v>
      </c>
      <c r="AD229" s="189">
        <f t="shared" si="64"/>
        <v>3.7735849056603772E-2</v>
      </c>
      <c r="AE229" s="189">
        <f t="shared" si="65"/>
        <v>0.16981132075471697</v>
      </c>
      <c r="AF229" s="189">
        <f t="shared" si="52"/>
        <v>2.783321079718517E-3</v>
      </c>
      <c r="AG229" s="189">
        <f>town_establishments[[#This Row],[share of state establishments]]/($AF$250-$AF$249)</f>
        <v>2.8790265630941388E-3</v>
      </c>
      <c r="AH229" s="189">
        <f>town_establishments[[#This Row],[share of state establishments (no residual)]]/(INDEX(regional_establishments[share of state establishments],MATCH(town_establishments[[#This Row],[Regional Planning Commission]],regional_establishments[Regional Planning Commission],0)))</f>
        <v>3.4127495170637477E-2</v>
      </c>
    </row>
    <row r="230" spans="1:34" x14ac:dyDescent="0.25">
      <c r="A230" t="s">
        <v>447</v>
      </c>
      <c r="B230" t="str">
        <f>INDEX(town_population[Regional Planning Commission],MATCH(town_establishments[[#This Row],[Municipality]],town_population[Municipality],0))</f>
        <v>Northeastern Vermont Development Association</v>
      </c>
      <c r="D230">
        <v>1</v>
      </c>
      <c r="I230">
        <v>1</v>
      </c>
      <c r="O230">
        <v>3</v>
      </c>
      <c r="Q230">
        <f t="shared" si="50"/>
        <v>5</v>
      </c>
      <c r="R230" s="189">
        <f t="shared" si="51"/>
        <v>0</v>
      </c>
      <c r="S230" s="189">
        <f t="shared" si="53"/>
        <v>0.2</v>
      </c>
      <c r="T230" s="189">
        <f t="shared" si="54"/>
        <v>0</v>
      </c>
      <c r="U230" s="189">
        <f t="shared" si="55"/>
        <v>0</v>
      </c>
      <c r="V230" s="189">
        <f t="shared" si="56"/>
        <v>0</v>
      </c>
      <c r="W230" s="189">
        <f t="shared" si="57"/>
        <v>0</v>
      </c>
      <c r="X230" s="189">
        <f t="shared" si="58"/>
        <v>0.2</v>
      </c>
      <c r="Y230" s="189">
        <f t="shared" si="59"/>
        <v>0</v>
      </c>
      <c r="Z230" s="189">
        <f t="shared" si="60"/>
        <v>0</v>
      </c>
      <c r="AA230" s="189">
        <f t="shared" si="61"/>
        <v>0</v>
      </c>
      <c r="AB230" s="189">
        <f t="shared" si="62"/>
        <v>0</v>
      </c>
      <c r="AC230" s="189">
        <f t="shared" si="63"/>
        <v>0</v>
      </c>
      <c r="AD230" s="189">
        <f t="shared" si="64"/>
        <v>0.6</v>
      </c>
      <c r="AE230" s="189">
        <f t="shared" si="65"/>
        <v>0</v>
      </c>
      <c r="AF230" s="189">
        <f t="shared" si="52"/>
        <v>2.6257746035080349E-4</v>
      </c>
      <c r="AG230" s="189">
        <f>town_establishments[[#This Row],[share of state establishments]]/($AF$250-$AF$249)</f>
        <v>2.7160627953718287E-4</v>
      </c>
      <c r="AH230" s="189">
        <f>town_establishments[[#This Row],[share of state establishments (no residual)]]/(INDEX(regional_establishments[share of state establishments],MATCH(town_establishments[[#This Row],[Regional Planning Commission]],regional_establishments[Regional Planning Commission],0)))</f>
        <v>3.4270047978067165E-3</v>
      </c>
    </row>
    <row r="231" spans="1:34" x14ac:dyDescent="0.25">
      <c r="A231" t="s">
        <v>448</v>
      </c>
      <c r="B231" t="str">
        <f>INDEX(town_population[Regional Planning Commission],MATCH(town_establishments[[#This Row],[Municipality]],town_population[Municipality],0))</f>
        <v>Windham Regional Commission</v>
      </c>
      <c r="C231">
        <v>4</v>
      </c>
      <c r="D231">
        <v>6</v>
      </c>
      <c r="E231">
        <v>1</v>
      </c>
      <c r="F231">
        <v>2</v>
      </c>
      <c r="I231">
        <v>3</v>
      </c>
      <c r="K231">
        <v>3</v>
      </c>
      <c r="M231">
        <v>1</v>
      </c>
      <c r="N231">
        <v>5</v>
      </c>
      <c r="O231">
        <v>3</v>
      </c>
      <c r="P231">
        <v>2</v>
      </c>
      <c r="Q231">
        <f t="shared" si="50"/>
        <v>30</v>
      </c>
      <c r="R231" s="189">
        <f t="shared" si="51"/>
        <v>0.13333333333333333</v>
      </c>
      <c r="S231" s="189">
        <f t="shared" si="53"/>
        <v>0.2</v>
      </c>
      <c r="T231" s="189">
        <f t="shared" si="54"/>
        <v>3.3333333333333333E-2</v>
      </c>
      <c r="U231" s="189">
        <f t="shared" si="55"/>
        <v>6.6666666666666666E-2</v>
      </c>
      <c r="V231" s="189">
        <f t="shared" si="56"/>
        <v>0</v>
      </c>
      <c r="W231" s="189">
        <f t="shared" si="57"/>
        <v>0</v>
      </c>
      <c r="X231" s="189">
        <f t="shared" si="58"/>
        <v>0.1</v>
      </c>
      <c r="Y231" s="189">
        <f t="shared" si="59"/>
        <v>0</v>
      </c>
      <c r="Z231" s="189">
        <f t="shared" si="60"/>
        <v>0.1</v>
      </c>
      <c r="AA231" s="189">
        <f t="shared" si="61"/>
        <v>0</v>
      </c>
      <c r="AB231" s="189">
        <f t="shared" si="62"/>
        <v>3.3333333333333333E-2</v>
      </c>
      <c r="AC231" s="189">
        <f t="shared" si="63"/>
        <v>0.16666666666666666</v>
      </c>
      <c r="AD231" s="189">
        <f t="shared" si="64"/>
        <v>0.1</v>
      </c>
      <c r="AE231" s="189">
        <f t="shared" si="65"/>
        <v>6.6666666666666666E-2</v>
      </c>
      <c r="AF231" s="189">
        <f t="shared" si="52"/>
        <v>1.5754647621048208E-3</v>
      </c>
      <c r="AG231" s="189">
        <f>town_establishments[[#This Row],[share of state establishments]]/($AF$250-$AF$249)</f>
        <v>1.6296376772230972E-3</v>
      </c>
      <c r="AH231" s="189">
        <f>town_establishments[[#This Row],[share of state establishments (no residual)]]/(INDEX(regional_establishments[share of state establishments],MATCH(town_establishments[[#This Row],[Regional Planning Commission]],regional_establishments[Regional Planning Commission],0)))</f>
        <v>1.9317450096587249E-2</v>
      </c>
    </row>
    <row r="232" spans="1:34" x14ac:dyDescent="0.25">
      <c r="A232" t="s">
        <v>443</v>
      </c>
      <c r="B232" t="str">
        <f>INDEX(town_population[Regional Planning Commission],MATCH(town_establishments[[#This Row],[Municipality]],town_population[Municipality],0))</f>
        <v>Southern Windsor County Regional Planning Commission</v>
      </c>
      <c r="C232">
        <v>2</v>
      </c>
      <c r="D232">
        <v>1</v>
      </c>
      <c r="E232">
        <v>1</v>
      </c>
      <c r="F232">
        <v>2</v>
      </c>
      <c r="I232">
        <v>5</v>
      </c>
      <c r="K232">
        <v>3</v>
      </c>
      <c r="L232">
        <v>1</v>
      </c>
      <c r="M232">
        <v>1</v>
      </c>
      <c r="O232">
        <v>1</v>
      </c>
      <c r="P232">
        <v>1</v>
      </c>
      <c r="Q232">
        <f t="shared" si="50"/>
        <v>18</v>
      </c>
      <c r="R232" s="189">
        <f t="shared" si="51"/>
        <v>0.1111111111111111</v>
      </c>
      <c r="S232" s="189">
        <f t="shared" si="53"/>
        <v>5.5555555555555552E-2</v>
      </c>
      <c r="T232" s="189">
        <f t="shared" si="54"/>
        <v>5.5555555555555552E-2</v>
      </c>
      <c r="U232" s="189">
        <f t="shared" si="55"/>
        <v>0.1111111111111111</v>
      </c>
      <c r="V232" s="189">
        <f t="shared" si="56"/>
        <v>0</v>
      </c>
      <c r="W232" s="189">
        <f t="shared" si="57"/>
        <v>0</v>
      </c>
      <c r="X232" s="189">
        <f t="shared" si="58"/>
        <v>0.27777777777777779</v>
      </c>
      <c r="Y232" s="189">
        <f t="shared" si="59"/>
        <v>0</v>
      </c>
      <c r="Z232" s="189">
        <f t="shared" si="60"/>
        <v>0.16666666666666666</v>
      </c>
      <c r="AA232" s="189">
        <f t="shared" si="61"/>
        <v>5.5555555555555552E-2</v>
      </c>
      <c r="AB232" s="189">
        <f t="shared" si="62"/>
        <v>5.5555555555555552E-2</v>
      </c>
      <c r="AC232" s="189">
        <f t="shared" si="63"/>
        <v>0</v>
      </c>
      <c r="AD232" s="189">
        <f t="shared" si="64"/>
        <v>5.5555555555555552E-2</v>
      </c>
      <c r="AE232" s="189">
        <f t="shared" si="65"/>
        <v>5.5555555555555552E-2</v>
      </c>
      <c r="AF232" s="189">
        <f t="shared" si="52"/>
        <v>9.4527885726289253E-4</v>
      </c>
      <c r="AG232" s="189">
        <f>town_establishments[[#This Row],[share of state establishments]]/($AF$250-$AF$249)</f>
        <v>9.7778260633385851E-4</v>
      </c>
      <c r="AH232" s="189">
        <f>town_establishments[[#This Row],[share of state establishments (no residual)]]/(INDEX(regional_establishments[share of state establishments],MATCH(town_establishments[[#This Row],[Regional Planning Commission]],regional_establishments[Regional Planning Commission],0)))</f>
        <v>2.8571428571428581E-2</v>
      </c>
    </row>
    <row r="233" spans="1:34" x14ac:dyDescent="0.25">
      <c r="A233" t="s">
        <v>449</v>
      </c>
      <c r="B233" t="str">
        <f>INDEX(town_population[Regional Planning Commission],MATCH(town_establishments[[#This Row],[Municipality]],town_population[Municipality],0))</f>
        <v>Addison County Regional Planning Commission</v>
      </c>
      <c r="C233">
        <v>0</v>
      </c>
      <c r="I233">
        <v>1</v>
      </c>
      <c r="K233">
        <v>3</v>
      </c>
      <c r="L233">
        <v>1</v>
      </c>
      <c r="P233">
        <v>4</v>
      </c>
      <c r="Q233">
        <f t="shared" si="50"/>
        <v>9</v>
      </c>
      <c r="R233" s="189">
        <f t="shared" si="51"/>
        <v>0</v>
      </c>
      <c r="S233" s="189">
        <f t="shared" si="53"/>
        <v>0</v>
      </c>
      <c r="T233" s="189">
        <f t="shared" si="54"/>
        <v>0</v>
      </c>
      <c r="U233" s="189">
        <f t="shared" si="55"/>
        <v>0</v>
      </c>
      <c r="V233" s="189">
        <f t="shared" si="56"/>
        <v>0</v>
      </c>
      <c r="W233" s="189">
        <f t="shared" si="57"/>
        <v>0</v>
      </c>
      <c r="X233" s="189">
        <f t="shared" si="58"/>
        <v>0.1111111111111111</v>
      </c>
      <c r="Y233" s="189">
        <f t="shared" si="59"/>
        <v>0</v>
      </c>
      <c r="Z233" s="189">
        <f t="shared" si="60"/>
        <v>0.33333333333333331</v>
      </c>
      <c r="AA233" s="189">
        <f t="shared" si="61"/>
        <v>0.1111111111111111</v>
      </c>
      <c r="AB233" s="189">
        <f t="shared" si="62"/>
        <v>0</v>
      </c>
      <c r="AC233" s="189">
        <f t="shared" si="63"/>
        <v>0</v>
      </c>
      <c r="AD233" s="189">
        <f t="shared" si="64"/>
        <v>0</v>
      </c>
      <c r="AE233" s="189">
        <f t="shared" si="65"/>
        <v>0.44444444444444442</v>
      </c>
      <c r="AF233" s="189">
        <f t="shared" si="52"/>
        <v>4.7263942863144627E-4</v>
      </c>
      <c r="AG233" s="189">
        <f>town_establishments[[#This Row],[share of state establishments]]/($AF$250-$AF$249)</f>
        <v>4.8889130316692926E-4</v>
      </c>
      <c r="AH233" s="189">
        <f>town_establishments[[#This Row],[share of state establishments (no residual)]]/(INDEX(regional_establishments[share of state establishments],MATCH(town_establishments[[#This Row],[Regional Planning Commission]],regional_establishments[Regional Planning Commission],0)))</f>
        <v>9.6153846153846177E-3</v>
      </c>
    </row>
    <row r="234" spans="1:34" x14ac:dyDescent="0.25">
      <c r="A234" t="s">
        <v>450</v>
      </c>
      <c r="B234" t="str">
        <f>INDEX(town_population[Regional Planning Commission],MATCH(town_establishments[[#This Row],[Municipality]],town_population[Municipality],0))</f>
        <v>Northeastern Vermont Development Association</v>
      </c>
      <c r="D234">
        <v>1</v>
      </c>
      <c r="P234">
        <v>1</v>
      </c>
      <c r="Q234">
        <f t="shared" si="50"/>
        <v>2</v>
      </c>
      <c r="R234" s="189">
        <f t="shared" si="51"/>
        <v>0</v>
      </c>
      <c r="S234" s="189">
        <f t="shared" si="53"/>
        <v>0.5</v>
      </c>
      <c r="T234" s="189">
        <f t="shared" si="54"/>
        <v>0</v>
      </c>
      <c r="U234" s="189">
        <f t="shared" si="55"/>
        <v>0</v>
      </c>
      <c r="V234" s="189">
        <f t="shared" si="56"/>
        <v>0</v>
      </c>
      <c r="W234" s="189">
        <f t="shared" si="57"/>
        <v>0</v>
      </c>
      <c r="X234" s="189">
        <f t="shared" si="58"/>
        <v>0</v>
      </c>
      <c r="Y234" s="189">
        <f t="shared" si="59"/>
        <v>0</v>
      </c>
      <c r="Z234" s="189">
        <f t="shared" si="60"/>
        <v>0</v>
      </c>
      <c r="AA234" s="189">
        <f t="shared" si="61"/>
        <v>0</v>
      </c>
      <c r="AB234" s="189">
        <f t="shared" si="62"/>
        <v>0</v>
      </c>
      <c r="AC234" s="189">
        <f t="shared" si="63"/>
        <v>0</v>
      </c>
      <c r="AD234" s="189">
        <f t="shared" si="64"/>
        <v>0</v>
      </c>
      <c r="AE234" s="189">
        <f t="shared" si="65"/>
        <v>0.5</v>
      </c>
      <c r="AF234" s="189">
        <f t="shared" si="52"/>
        <v>1.0503098414032139E-4</v>
      </c>
      <c r="AG234" s="189">
        <f>town_establishments[[#This Row],[share of state establishments]]/($AF$250-$AF$249)</f>
        <v>1.0864251181487315E-4</v>
      </c>
      <c r="AH234" s="189">
        <f>town_establishments[[#This Row],[share of state establishments (no residual)]]/(INDEX(regional_establishments[share of state establishments],MATCH(town_establishments[[#This Row],[Regional Planning Commission]],regional_establishments[Regional Planning Commission],0)))</f>
        <v>1.3708019191226866E-3</v>
      </c>
    </row>
    <row r="235" spans="1:34" x14ac:dyDescent="0.25">
      <c r="A235" t="s">
        <v>451</v>
      </c>
      <c r="B235" t="str">
        <f>INDEX(town_population[Regional Planning Commission],MATCH(town_establishments[[#This Row],[Municipality]],town_population[Municipality],0))</f>
        <v>Addison County Regional Planning Commission</v>
      </c>
      <c r="C235">
        <v>1</v>
      </c>
      <c r="D235">
        <v>0</v>
      </c>
      <c r="E235">
        <v>1</v>
      </c>
      <c r="G235">
        <v>1</v>
      </c>
      <c r="I235">
        <v>1</v>
      </c>
      <c r="K235">
        <v>1</v>
      </c>
      <c r="L235">
        <v>1</v>
      </c>
      <c r="P235">
        <v>2</v>
      </c>
      <c r="Q235">
        <f t="shared" si="50"/>
        <v>8</v>
      </c>
      <c r="R235" s="189">
        <f t="shared" si="51"/>
        <v>0.125</v>
      </c>
      <c r="S235" s="189">
        <f t="shared" si="53"/>
        <v>0</v>
      </c>
      <c r="T235" s="189">
        <f t="shared" si="54"/>
        <v>0.125</v>
      </c>
      <c r="U235" s="189">
        <f t="shared" si="55"/>
        <v>0</v>
      </c>
      <c r="V235" s="189">
        <f t="shared" si="56"/>
        <v>0.125</v>
      </c>
      <c r="W235" s="189">
        <f t="shared" si="57"/>
        <v>0</v>
      </c>
      <c r="X235" s="189">
        <f t="shared" si="58"/>
        <v>0.125</v>
      </c>
      <c r="Y235" s="189">
        <f t="shared" si="59"/>
        <v>0</v>
      </c>
      <c r="Z235" s="189">
        <f t="shared" si="60"/>
        <v>0.125</v>
      </c>
      <c r="AA235" s="189">
        <f t="shared" si="61"/>
        <v>0.125</v>
      </c>
      <c r="AB235" s="189">
        <f t="shared" si="62"/>
        <v>0</v>
      </c>
      <c r="AC235" s="189">
        <f t="shared" si="63"/>
        <v>0</v>
      </c>
      <c r="AD235" s="189">
        <f t="shared" si="64"/>
        <v>0</v>
      </c>
      <c r="AE235" s="189">
        <f t="shared" si="65"/>
        <v>0.25</v>
      </c>
      <c r="AF235" s="189">
        <f t="shared" si="52"/>
        <v>4.2012393656128556E-4</v>
      </c>
      <c r="AG235" s="189">
        <f>town_establishments[[#This Row],[share of state establishments]]/($AF$250-$AF$249)</f>
        <v>4.3457004725949261E-4</v>
      </c>
      <c r="AH235" s="189">
        <f>town_establishments[[#This Row],[share of state establishments (no residual)]]/(INDEX(regional_establishments[share of state establishments],MATCH(town_establishments[[#This Row],[Regional Planning Commission]],regional_establishments[Regional Planning Commission],0)))</f>
        <v>8.5470085470085479E-3</v>
      </c>
    </row>
    <row r="236" spans="1:34" x14ac:dyDescent="0.25">
      <c r="A236" t="s">
        <v>452</v>
      </c>
      <c r="B236" t="str">
        <f>INDEX(town_population[Regional Planning Commission],MATCH(town_establishments[[#This Row],[Municipality]],town_population[Municipality],0))</f>
        <v>Windham Regional Commission</v>
      </c>
      <c r="D236">
        <v>2</v>
      </c>
      <c r="E236">
        <v>3</v>
      </c>
      <c r="F236">
        <v>1</v>
      </c>
      <c r="H236">
        <v>1</v>
      </c>
      <c r="I236">
        <v>2</v>
      </c>
      <c r="K236">
        <v>1</v>
      </c>
      <c r="M236">
        <v>2</v>
      </c>
      <c r="P236">
        <v>3</v>
      </c>
      <c r="Q236">
        <f t="shared" si="50"/>
        <v>15</v>
      </c>
      <c r="R236" s="189">
        <f t="shared" si="51"/>
        <v>0</v>
      </c>
      <c r="S236" s="189">
        <f t="shared" si="53"/>
        <v>0.13333333333333333</v>
      </c>
      <c r="T236" s="189">
        <f t="shared" si="54"/>
        <v>0.2</v>
      </c>
      <c r="U236" s="189">
        <f t="shared" si="55"/>
        <v>6.6666666666666666E-2</v>
      </c>
      <c r="V236" s="189">
        <f t="shared" si="56"/>
        <v>0</v>
      </c>
      <c r="W236" s="189">
        <f t="shared" si="57"/>
        <v>6.6666666666666666E-2</v>
      </c>
      <c r="X236" s="189">
        <f t="shared" si="58"/>
        <v>0.13333333333333333</v>
      </c>
      <c r="Y236" s="189">
        <f t="shared" si="59"/>
        <v>0</v>
      </c>
      <c r="Z236" s="189">
        <f t="shared" si="60"/>
        <v>6.6666666666666666E-2</v>
      </c>
      <c r="AA236" s="189">
        <f t="shared" si="61"/>
        <v>0</v>
      </c>
      <c r="AB236" s="189">
        <f t="shared" si="62"/>
        <v>0.13333333333333333</v>
      </c>
      <c r="AC236" s="189">
        <f t="shared" si="63"/>
        <v>0</v>
      </c>
      <c r="AD236" s="189">
        <f t="shared" si="64"/>
        <v>0</v>
      </c>
      <c r="AE236" s="189">
        <f t="shared" si="65"/>
        <v>0.2</v>
      </c>
      <c r="AF236" s="189">
        <f t="shared" si="52"/>
        <v>7.8773238105241041E-4</v>
      </c>
      <c r="AG236" s="189">
        <f>town_establishments[[#This Row],[share of state establishments]]/($AF$250-$AF$249)</f>
        <v>8.1481883861154862E-4</v>
      </c>
      <c r="AH236" s="189">
        <f>town_establishments[[#This Row],[share of state establishments (no residual)]]/(INDEX(regional_establishments[share of state establishments],MATCH(town_establishments[[#This Row],[Regional Planning Commission]],regional_establishments[Regional Planning Commission],0)))</f>
        <v>9.6587250482936243E-3</v>
      </c>
    </row>
    <row r="237" spans="1:34" x14ac:dyDescent="0.25">
      <c r="A237" t="s">
        <v>453</v>
      </c>
      <c r="B237" t="str">
        <f>INDEX(town_population[Regional Planning Commission],MATCH(town_establishments[[#This Row],[Municipality]],town_population[Municipality],0))</f>
        <v>Central Vermont Regional Planning Commission</v>
      </c>
      <c r="C237">
        <v>6</v>
      </c>
      <c r="D237">
        <v>8</v>
      </c>
      <c r="E237">
        <v>3</v>
      </c>
      <c r="H237">
        <v>1</v>
      </c>
      <c r="I237">
        <v>5</v>
      </c>
      <c r="K237">
        <v>4</v>
      </c>
      <c r="L237">
        <v>1</v>
      </c>
      <c r="M237">
        <v>2</v>
      </c>
      <c r="N237">
        <v>1</v>
      </c>
      <c r="O237">
        <v>2</v>
      </c>
      <c r="P237">
        <v>6</v>
      </c>
      <c r="Q237">
        <f t="shared" si="50"/>
        <v>39</v>
      </c>
      <c r="R237" s="189">
        <f t="shared" si="51"/>
        <v>0.15384615384615385</v>
      </c>
      <c r="S237" s="189">
        <f t="shared" si="53"/>
        <v>0.20512820512820512</v>
      </c>
      <c r="T237" s="189">
        <f t="shared" si="54"/>
        <v>7.6923076923076927E-2</v>
      </c>
      <c r="U237" s="189">
        <f t="shared" si="55"/>
        <v>0</v>
      </c>
      <c r="V237" s="189">
        <f t="shared" si="56"/>
        <v>0</v>
      </c>
      <c r="W237" s="189">
        <f t="shared" si="57"/>
        <v>2.564102564102564E-2</v>
      </c>
      <c r="X237" s="189">
        <f t="shared" si="58"/>
        <v>0.12820512820512819</v>
      </c>
      <c r="Y237" s="189">
        <f t="shared" si="59"/>
        <v>0</v>
      </c>
      <c r="Z237" s="189">
        <f t="shared" si="60"/>
        <v>0.10256410256410256</v>
      </c>
      <c r="AA237" s="189">
        <f t="shared" si="61"/>
        <v>2.564102564102564E-2</v>
      </c>
      <c r="AB237" s="189">
        <f t="shared" si="62"/>
        <v>5.128205128205128E-2</v>
      </c>
      <c r="AC237" s="189">
        <f t="shared" si="63"/>
        <v>2.564102564102564E-2</v>
      </c>
      <c r="AD237" s="189">
        <f t="shared" si="64"/>
        <v>5.128205128205128E-2</v>
      </c>
      <c r="AE237" s="189">
        <f t="shared" si="65"/>
        <v>0.15384615384615385</v>
      </c>
      <c r="AF237" s="189">
        <f t="shared" si="52"/>
        <v>2.0481041907362673E-3</v>
      </c>
      <c r="AG237" s="189">
        <f>town_establishments[[#This Row],[share of state establishments]]/($AF$250-$AF$249)</f>
        <v>2.1185289803900267E-3</v>
      </c>
      <c r="AH237" s="189">
        <f>town_establishments[[#This Row],[share of state establishments (no residual)]]/(INDEX(regional_establishments[share of state establishments],MATCH(town_establishments[[#This Row],[Regional Planning Commission]],regional_establishments[Regional Planning Commission],0)))</f>
        <v>1.9221291276490884E-2</v>
      </c>
    </row>
    <row r="238" spans="1:34" x14ac:dyDescent="0.25">
      <c r="A238" t="s">
        <v>454</v>
      </c>
      <c r="B238" t="str">
        <f>INDEX(town_population[Regional Planning Commission],MATCH(town_establishments[[#This Row],[Municipality]],town_population[Municipality],0))</f>
        <v>Chittenden County Regional Planning Commission</v>
      </c>
      <c r="C238">
        <v>81</v>
      </c>
      <c r="D238">
        <v>102</v>
      </c>
      <c r="E238">
        <v>34</v>
      </c>
      <c r="F238">
        <v>22</v>
      </c>
      <c r="G238">
        <v>35</v>
      </c>
      <c r="H238">
        <v>20</v>
      </c>
      <c r="I238">
        <v>138</v>
      </c>
      <c r="J238">
        <v>2</v>
      </c>
      <c r="K238">
        <v>65</v>
      </c>
      <c r="L238">
        <v>11</v>
      </c>
      <c r="M238">
        <v>45</v>
      </c>
      <c r="N238">
        <v>10</v>
      </c>
      <c r="O238">
        <v>36</v>
      </c>
      <c r="P238">
        <v>54</v>
      </c>
      <c r="Q238">
        <f t="shared" si="50"/>
        <v>655</v>
      </c>
      <c r="R238" s="189">
        <f t="shared" si="51"/>
        <v>0.12366412213740458</v>
      </c>
      <c r="S238" s="189">
        <f t="shared" si="53"/>
        <v>0.15572519083969466</v>
      </c>
      <c r="T238" s="189">
        <f t="shared" si="54"/>
        <v>5.1908396946564885E-2</v>
      </c>
      <c r="U238" s="189">
        <f t="shared" si="55"/>
        <v>3.3587786259541987E-2</v>
      </c>
      <c r="V238" s="189">
        <f t="shared" si="56"/>
        <v>5.3435114503816793E-2</v>
      </c>
      <c r="W238" s="189">
        <f t="shared" si="57"/>
        <v>3.0534351145038167E-2</v>
      </c>
      <c r="X238" s="189">
        <f t="shared" si="58"/>
        <v>0.21068702290076335</v>
      </c>
      <c r="Y238" s="189">
        <f t="shared" si="59"/>
        <v>3.0534351145038168E-3</v>
      </c>
      <c r="Z238" s="189">
        <f t="shared" si="60"/>
        <v>9.9236641221374045E-2</v>
      </c>
      <c r="AA238" s="189">
        <f t="shared" si="61"/>
        <v>1.6793893129770993E-2</v>
      </c>
      <c r="AB238" s="189">
        <f t="shared" si="62"/>
        <v>6.8702290076335881E-2</v>
      </c>
      <c r="AC238" s="189">
        <f t="shared" si="63"/>
        <v>1.5267175572519083E-2</v>
      </c>
      <c r="AD238" s="189">
        <f t="shared" si="64"/>
        <v>5.4961832061068701E-2</v>
      </c>
      <c r="AE238" s="189">
        <f t="shared" si="65"/>
        <v>8.2442748091603055E-2</v>
      </c>
      <c r="AF238" s="189">
        <f t="shared" si="52"/>
        <v>3.4397647305955258E-2</v>
      </c>
      <c r="AG238" s="189">
        <f>town_establishments[[#This Row],[share of state establishments]]/($AF$250-$AF$249)</f>
        <v>3.5580422619370958E-2</v>
      </c>
      <c r="AH238" s="189">
        <f>town_establishments[[#This Row],[share of state establishments (no residual)]]/(INDEX(regional_establishments[share of state establishments],MATCH(town_establishments[[#This Row],[Regional Planning Commission]],regional_establishments[Regional Planning Commission],0)))</f>
        <v>0.12087100941133051</v>
      </c>
    </row>
    <row r="239" spans="1:34" x14ac:dyDescent="0.25">
      <c r="A239" t="s">
        <v>455</v>
      </c>
      <c r="B239" t="str">
        <f>INDEX(town_population[Regional Planning Commission],MATCH(town_establishments[[#This Row],[Municipality]],town_population[Municipality],0))</f>
        <v>Windham Regional Commission</v>
      </c>
      <c r="C239">
        <v>4</v>
      </c>
      <c r="D239">
        <v>17</v>
      </c>
      <c r="E239">
        <v>4</v>
      </c>
      <c r="F239">
        <v>4</v>
      </c>
      <c r="G239">
        <v>4</v>
      </c>
      <c r="H239">
        <v>7</v>
      </c>
      <c r="I239">
        <v>7</v>
      </c>
      <c r="K239">
        <v>10</v>
      </c>
      <c r="L239">
        <v>1</v>
      </c>
      <c r="M239">
        <v>8</v>
      </c>
      <c r="N239">
        <v>2</v>
      </c>
      <c r="O239">
        <v>20</v>
      </c>
      <c r="P239">
        <v>8</v>
      </c>
      <c r="Q239">
        <f t="shared" si="50"/>
        <v>96</v>
      </c>
      <c r="R239" s="189">
        <f t="shared" si="51"/>
        <v>4.1666666666666664E-2</v>
      </c>
      <c r="S239" s="189">
        <f t="shared" si="53"/>
        <v>0.17708333333333334</v>
      </c>
      <c r="T239" s="189">
        <f t="shared" si="54"/>
        <v>4.1666666666666664E-2</v>
      </c>
      <c r="U239" s="189">
        <f t="shared" si="55"/>
        <v>4.1666666666666664E-2</v>
      </c>
      <c r="V239" s="189">
        <f t="shared" si="56"/>
        <v>4.1666666666666664E-2</v>
      </c>
      <c r="W239" s="189">
        <f t="shared" si="57"/>
        <v>7.2916666666666671E-2</v>
      </c>
      <c r="X239" s="189">
        <f t="shared" si="58"/>
        <v>7.2916666666666671E-2</v>
      </c>
      <c r="Y239" s="189">
        <f t="shared" si="59"/>
        <v>0</v>
      </c>
      <c r="Z239" s="189">
        <f t="shared" si="60"/>
        <v>0.10416666666666667</v>
      </c>
      <c r="AA239" s="189">
        <f t="shared" si="61"/>
        <v>1.0416666666666666E-2</v>
      </c>
      <c r="AB239" s="189">
        <f t="shared" si="62"/>
        <v>8.3333333333333329E-2</v>
      </c>
      <c r="AC239" s="189">
        <f t="shared" si="63"/>
        <v>2.0833333333333332E-2</v>
      </c>
      <c r="AD239" s="189">
        <f t="shared" si="64"/>
        <v>0.20833333333333334</v>
      </c>
      <c r="AE239" s="189">
        <f t="shared" si="65"/>
        <v>8.3333333333333329E-2</v>
      </c>
      <c r="AF239" s="189">
        <f t="shared" si="52"/>
        <v>5.0414872387354271E-3</v>
      </c>
      <c r="AG239" s="189">
        <f>town_establishments[[#This Row],[share of state establishments]]/($AF$250-$AF$249)</f>
        <v>5.2148405671139115E-3</v>
      </c>
      <c r="AH239" s="189">
        <f>town_establishments[[#This Row],[share of state establishments (no residual)]]/(INDEX(regional_establishments[share of state establishments],MATCH(town_establishments[[#This Row],[Regional Planning Commission]],regional_establishments[Regional Planning Commission],0)))</f>
        <v>6.1815840309079197E-2</v>
      </c>
    </row>
    <row r="240" spans="1:34" x14ac:dyDescent="0.25">
      <c r="A240" t="s">
        <v>456</v>
      </c>
      <c r="B240" t="str">
        <f>INDEX(town_population[Regional Planning Commission],MATCH(town_establishments[[#This Row],[Municipality]],town_population[Municipality],0))</f>
        <v>Windham Regional Commission</v>
      </c>
      <c r="G240">
        <v>1</v>
      </c>
      <c r="I240">
        <v>3</v>
      </c>
      <c r="L240">
        <v>1</v>
      </c>
      <c r="M240">
        <v>1</v>
      </c>
      <c r="O240">
        <v>1</v>
      </c>
      <c r="Q240">
        <f t="shared" si="50"/>
        <v>7</v>
      </c>
      <c r="R240" s="189">
        <f t="shared" si="51"/>
        <v>0</v>
      </c>
      <c r="S240" s="189">
        <f t="shared" si="53"/>
        <v>0</v>
      </c>
      <c r="T240" s="189">
        <f t="shared" si="54"/>
        <v>0</v>
      </c>
      <c r="U240" s="189">
        <f t="shared" si="55"/>
        <v>0</v>
      </c>
      <c r="V240" s="189">
        <f t="shared" si="56"/>
        <v>0.14285714285714285</v>
      </c>
      <c r="W240" s="189">
        <f t="shared" si="57"/>
        <v>0</v>
      </c>
      <c r="X240" s="189">
        <f t="shared" si="58"/>
        <v>0.42857142857142855</v>
      </c>
      <c r="Y240" s="189">
        <f t="shared" si="59"/>
        <v>0</v>
      </c>
      <c r="Z240" s="189">
        <f t="shared" si="60"/>
        <v>0</v>
      </c>
      <c r="AA240" s="189">
        <f t="shared" si="61"/>
        <v>0.14285714285714285</v>
      </c>
      <c r="AB240" s="189">
        <f t="shared" si="62"/>
        <v>0.14285714285714285</v>
      </c>
      <c r="AC240" s="189">
        <f t="shared" si="63"/>
        <v>0</v>
      </c>
      <c r="AD240" s="189">
        <f t="shared" si="64"/>
        <v>0.14285714285714285</v>
      </c>
      <c r="AE240" s="189">
        <f t="shared" si="65"/>
        <v>0</v>
      </c>
      <c r="AF240" s="189">
        <f t="shared" si="52"/>
        <v>3.676084444911249E-4</v>
      </c>
      <c r="AG240" s="189">
        <f>town_establishments[[#This Row],[share of state establishments]]/($AF$250-$AF$249)</f>
        <v>3.8024879135205606E-4</v>
      </c>
      <c r="AH240" s="189">
        <f>town_establishments[[#This Row],[share of state establishments (no residual)]]/(INDEX(regional_establishments[share of state establishments],MATCH(town_establishments[[#This Row],[Regional Planning Commission]],regional_establishments[Regional Planning Commission],0)))</f>
        <v>4.5074050225370251E-3</v>
      </c>
    </row>
    <row r="241" spans="1:34" x14ac:dyDescent="0.25">
      <c r="A241" t="s">
        <v>457</v>
      </c>
      <c r="B241" t="str">
        <f>INDEX(town_population[Regional Planning Commission],MATCH(town_establishments[[#This Row],[Municipality]],town_population[Municipality],0))</f>
        <v>Southern Windsor County Regional Planning Commission</v>
      </c>
      <c r="C241">
        <v>8</v>
      </c>
      <c r="D241">
        <v>17</v>
      </c>
      <c r="E241">
        <v>5</v>
      </c>
      <c r="F241">
        <v>1</v>
      </c>
      <c r="G241">
        <v>7</v>
      </c>
      <c r="H241">
        <v>4</v>
      </c>
      <c r="I241">
        <v>11</v>
      </c>
      <c r="J241">
        <v>1</v>
      </c>
      <c r="K241">
        <v>8</v>
      </c>
      <c r="L241">
        <v>1</v>
      </c>
      <c r="M241">
        <v>15</v>
      </c>
      <c r="N241">
        <v>4</v>
      </c>
      <c r="O241">
        <v>7</v>
      </c>
      <c r="P241">
        <v>11</v>
      </c>
      <c r="Q241">
        <f t="shared" si="50"/>
        <v>100</v>
      </c>
      <c r="R241" s="189">
        <f t="shared" si="51"/>
        <v>0.08</v>
      </c>
      <c r="S241" s="189">
        <f t="shared" si="53"/>
        <v>0.17</v>
      </c>
      <c r="T241" s="189">
        <f t="shared" si="54"/>
        <v>0.05</v>
      </c>
      <c r="U241" s="189">
        <f t="shared" si="55"/>
        <v>0.01</v>
      </c>
      <c r="V241" s="189">
        <f t="shared" si="56"/>
        <v>7.0000000000000007E-2</v>
      </c>
      <c r="W241" s="189">
        <f t="shared" si="57"/>
        <v>0.04</v>
      </c>
      <c r="X241" s="189">
        <f t="shared" si="58"/>
        <v>0.11</v>
      </c>
      <c r="Y241" s="189">
        <f t="shared" si="59"/>
        <v>0.01</v>
      </c>
      <c r="Z241" s="189">
        <f t="shared" si="60"/>
        <v>0.08</v>
      </c>
      <c r="AA241" s="189">
        <f t="shared" si="61"/>
        <v>0.01</v>
      </c>
      <c r="AB241" s="189">
        <f t="shared" si="62"/>
        <v>0.15</v>
      </c>
      <c r="AC241" s="189">
        <f t="shared" si="63"/>
        <v>0.04</v>
      </c>
      <c r="AD241" s="189">
        <f t="shared" si="64"/>
        <v>7.0000000000000007E-2</v>
      </c>
      <c r="AE241" s="189">
        <f t="shared" si="65"/>
        <v>0.11</v>
      </c>
      <c r="AF241" s="189">
        <f t="shared" si="52"/>
        <v>5.2515492070160695E-3</v>
      </c>
      <c r="AG241" s="189">
        <f>town_establishments[[#This Row],[share of state establishments]]/($AF$250-$AF$249)</f>
        <v>5.4321255907436574E-3</v>
      </c>
      <c r="AH241" s="189">
        <f>town_establishments[[#This Row],[share of state establishments (no residual)]]/(INDEX(regional_establishments[share of state establishments],MATCH(town_establishments[[#This Row],[Regional Planning Commission]],regional_establishments[Regional Planning Commission],0)))</f>
        <v>0.15873015873015875</v>
      </c>
    </row>
    <row r="242" spans="1:34" x14ac:dyDescent="0.25">
      <c r="A242" t="s">
        <v>458</v>
      </c>
      <c r="B242" t="str">
        <f>INDEX(town_population[Regional Planning Commission],MATCH(town_establishments[[#This Row],[Municipality]],town_population[Municipality],0))</f>
        <v>Windham Regional Commission</v>
      </c>
      <c r="C242">
        <v>5</v>
      </c>
      <c r="D242">
        <v>5</v>
      </c>
      <c r="E242">
        <v>1</v>
      </c>
      <c r="F242">
        <v>2</v>
      </c>
      <c r="G242">
        <v>1</v>
      </c>
      <c r="H242">
        <v>8</v>
      </c>
      <c r="I242">
        <v>6</v>
      </c>
      <c r="K242">
        <v>4</v>
      </c>
      <c r="L242">
        <v>1</v>
      </c>
      <c r="M242">
        <v>0</v>
      </c>
      <c r="N242">
        <v>1</v>
      </c>
      <c r="O242">
        <v>6</v>
      </c>
      <c r="P242">
        <v>4</v>
      </c>
      <c r="Q242">
        <f t="shared" si="50"/>
        <v>44</v>
      </c>
      <c r="R242" s="189">
        <f t="shared" si="51"/>
        <v>0.11363636363636363</v>
      </c>
      <c r="S242" s="189">
        <f t="shared" si="53"/>
        <v>0.11363636363636363</v>
      </c>
      <c r="T242" s="189">
        <f t="shared" si="54"/>
        <v>2.2727272727272728E-2</v>
      </c>
      <c r="U242" s="189">
        <f t="shared" si="55"/>
        <v>4.5454545454545456E-2</v>
      </c>
      <c r="V242" s="189">
        <f t="shared" si="56"/>
        <v>2.2727272727272728E-2</v>
      </c>
      <c r="W242" s="189">
        <f t="shared" si="57"/>
        <v>0.18181818181818182</v>
      </c>
      <c r="X242" s="189">
        <f t="shared" si="58"/>
        <v>0.13636363636363635</v>
      </c>
      <c r="Y242" s="189">
        <f t="shared" si="59"/>
        <v>0</v>
      </c>
      <c r="Z242" s="189">
        <f t="shared" si="60"/>
        <v>9.0909090909090912E-2</v>
      </c>
      <c r="AA242" s="189">
        <f t="shared" si="61"/>
        <v>2.2727272727272728E-2</v>
      </c>
      <c r="AB242" s="189">
        <f t="shared" si="62"/>
        <v>0</v>
      </c>
      <c r="AC242" s="189">
        <f t="shared" si="63"/>
        <v>2.2727272727272728E-2</v>
      </c>
      <c r="AD242" s="189">
        <f t="shared" si="64"/>
        <v>0.13636363636363635</v>
      </c>
      <c r="AE242" s="189">
        <f t="shared" si="65"/>
        <v>9.0909090909090912E-2</v>
      </c>
      <c r="AF242" s="189">
        <f t="shared" si="52"/>
        <v>2.3106816510870707E-3</v>
      </c>
      <c r="AG242" s="189">
        <f>town_establishments[[#This Row],[share of state establishments]]/($AF$250-$AF$249)</f>
        <v>2.3901352599272094E-3</v>
      </c>
      <c r="AH242" s="189">
        <f>town_establishments[[#This Row],[share of state establishments (no residual)]]/(INDEX(regional_establishments[share of state establishments],MATCH(town_establishments[[#This Row],[Regional Planning Commission]],regional_establishments[Regional Planning Commission],0)))</f>
        <v>2.8332260141661299E-2</v>
      </c>
    </row>
    <row r="243" spans="1:34" x14ac:dyDescent="0.25">
      <c r="A243" t="s">
        <v>459</v>
      </c>
      <c r="B243" t="str">
        <f>INDEX(town_population[Regional Planning Commission],MATCH(town_establishments[[#This Row],[Municipality]],town_population[Municipality],0))</f>
        <v>Chittenden County Regional Planning Commission</v>
      </c>
      <c r="C243">
        <v>7</v>
      </c>
      <c r="D243">
        <v>19</v>
      </c>
      <c r="E243">
        <v>2</v>
      </c>
      <c r="F243">
        <v>4</v>
      </c>
      <c r="G243">
        <v>9</v>
      </c>
      <c r="H243">
        <v>7</v>
      </c>
      <c r="I243">
        <v>37</v>
      </c>
      <c r="J243">
        <v>1</v>
      </c>
      <c r="K243">
        <v>11</v>
      </c>
      <c r="L243">
        <v>2</v>
      </c>
      <c r="M243">
        <v>12</v>
      </c>
      <c r="N243">
        <v>3</v>
      </c>
      <c r="O243">
        <v>21</v>
      </c>
      <c r="P243">
        <v>16</v>
      </c>
      <c r="Q243">
        <f t="shared" si="50"/>
        <v>151</v>
      </c>
      <c r="R243" s="189">
        <f t="shared" si="51"/>
        <v>4.6357615894039736E-2</v>
      </c>
      <c r="S243" s="189">
        <f t="shared" si="53"/>
        <v>0.12582781456953643</v>
      </c>
      <c r="T243" s="189">
        <f t="shared" si="54"/>
        <v>1.3245033112582781E-2</v>
      </c>
      <c r="U243" s="189">
        <f t="shared" si="55"/>
        <v>2.6490066225165563E-2</v>
      </c>
      <c r="V243" s="189">
        <f t="shared" si="56"/>
        <v>5.9602649006622516E-2</v>
      </c>
      <c r="W243" s="189">
        <f t="shared" si="57"/>
        <v>4.6357615894039736E-2</v>
      </c>
      <c r="X243" s="189">
        <f t="shared" si="58"/>
        <v>0.24503311258278146</v>
      </c>
      <c r="Y243" s="189">
        <f t="shared" si="59"/>
        <v>6.6225165562913907E-3</v>
      </c>
      <c r="Z243" s="189">
        <f t="shared" si="60"/>
        <v>7.2847682119205295E-2</v>
      </c>
      <c r="AA243" s="189">
        <f t="shared" si="61"/>
        <v>1.3245033112582781E-2</v>
      </c>
      <c r="AB243" s="189">
        <f t="shared" si="62"/>
        <v>7.9470198675496692E-2</v>
      </c>
      <c r="AC243" s="189">
        <f t="shared" si="63"/>
        <v>1.9867549668874173E-2</v>
      </c>
      <c r="AD243" s="189">
        <f t="shared" si="64"/>
        <v>0.13907284768211919</v>
      </c>
      <c r="AE243" s="189">
        <f t="shared" si="65"/>
        <v>0.10596026490066225</v>
      </c>
      <c r="AF243" s="189">
        <f t="shared" si="52"/>
        <v>7.9298393025942649E-3</v>
      </c>
      <c r="AG243" s="189">
        <f>town_establishments[[#This Row],[share of state establishments]]/($AF$250-$AF$249)</f>
        <v>8.2025096420229229E-3</v>
      </c>
      <c r="AH243" s="189">
        <f>town_establishments[[#This Row],[share of state establishments (no residual)]]/(INDEX(regional_establishments[share of state establishments],MATCH(town_establishments[[#This Row],[Regional Planning Commission]],regional_establishments[Regional Planning Commission],0)))</f>
        <v>2.7864919726886882E-2</v>
      </c>
    </row>
    <row r="244" spans="1:34" x14ac:dyDescent="0.25">
      <c r="A244" t="s">
        <v>460</v>
      </c>
      <c r="B244" t="str">
        <f>INDEX(town_population[Regional Planning Commission],MATCH(town_establishments[[#This Row],[Municipality]],town_population[Municipality],0))</f>
        <v>Lamoille County Planning Commission</v>
      </c>
      <c r="C244">
        <v>1</v>
      </c>
      <c r="D244">
        <v>3</v>
      </c>
      <c r="E244">
        <v>1</v>
      </c>
      <c r="G244">
        <v>1</v>
      </c>
      <c r="I244">
        <v>1</v>
      </c>
      <c r="K244">
        <v>2</v>
      </c>
      <c r="L244">
        <v>1</v>
      </c>
      <c r="P244">
        <v>2</v>
      </c>
      <c r="Q244">
        <f t="shared" si="50"/>
        <v>12</v>
      </c>
      <c r="R244" s="189">
        <f t="shared" si="51"/>
        <v>8.3333333333333329E-2</v>
      </c>
      <c r="S244" s="189">
        <f t="shared" si="53"/>
        <v>0.25</v>
      </c>
      <c r="T244" s="189">
        <f t="shared" si="54"/>
        <v>8.3333333333333329E-2</v>
      </c>
      <c r="U244" s="189">
        <f t="shared" si="55"/>
        <v>0</v>
      </c>
      <c r="V244" s="189">
        <f t="shared" si="56"/>
        <v>8.3333333333333329E-2</v>
      </c>
      <c r="W244" s="189">
        <f t="shared" si="57"/>
        <v>0</v>
      </c>
      <c r="X244" s="189">
        <f t="shared" si="58"/>
        <v>8.3333333333333329E-2</v>
      </c>
      <c r="Y244" s="189">
        <f t="shared" si="59"/>
        <v>0</v>
      </c>
      <c r="Z244" s="189">
        <f t="shared" si="60"/>
        <v>0.16666666666666666</v>
      </c>
      <c r="AA244" s="189">
        <f t="shared" si="61"/>
        <v>8.3333333333333329E-2</v>
      </c>
      <c r="AB244" s="189">
        <f t="shared" si="62"/>
        <v>0</v>
      </c>
      <c r="AC244" s="189">
        <f t="shared" si="63"/>
        <v>0</v>
      </c>
      <c r="AD244" s="189">
        <f t="shared" si="64"/>
        <v>0</v>
      </c>
      <c r="AE244" s="189">
        <f t="shared" si="65"/>
        <v>0.16666666666666666</v>
      </c>
      <c r="AF244" s="189">
        <f t="shared" si="52"/>
        <v>6.3018590484192839E-4</v>
      </c>
      <c r="AG244" s="189">
        <f>town_establishments[[#This Row],[share of state establishments]]/($AF$250-$AF$249)</f>
        <v>6.5185507088923894E-4</v>
      </c>
      <c r="AH244" s="189">
        <f>town_establishments[[#This Row],[share of state establishments (no residual)]]/(INDEX(regional_establishments[share of state establishments],MATCH(town_establishments[[#This Row],[Regional Planning Commission]],regional_establishments[Regional Planning Commission],0)))</f>
        <v>1.4705882352941175E-2</v>
      </c>
    </row>
    <row r="245" spans="1:34" x14ac:dyDescent="0.25">
      <c r="A245" t="s">
        <v>461</v>
      </c>
      <c r="B245" t="str">
        <f>INDEX(town_population[Regional Planning Commission],MATCH(town_establishments[[#This Row],[Municipality]],town_population[Municipality],0))</f>
        <v>Central Vermont Regional Planning Commission</v>
      </c>
      <c r="D245">
        <v>2</v>
      </c>
      <c r="E245">
        <v>1</v>
      </c>
      <c r="L245">
        <v>1</v>
      </c>
      <c r="O245">
        <v>1</v>
      </c>
      <c r="P245">
        <v>1</v>
      </c>
      <c r="Q245">
        <f t="shared" si="50"/>
        <v>6</v>
      </c>
      <c r="R245" s="189">
        <f t="shared" si="51"/>
        <v>0</v>
      </c>
      <c r="S245" s="189">
        <f t="shared" si="53"/>
        <v>0.33333333333333331</v>
      </c>
      <c r="T245" s="189">
        <f t="shared" si="54"/>
        <v>0.16666666666666666</v>
      </c>
      <c r="U245" s="189">
        <f t="shared" si="55"/>
        <v>0</v>
      </c>
      <c r="V245" s="189">
        <f t="shared" si="56"/>
        <v>0</v>
      </c>
      <c r="W245" s="189">
        <f t="shared" si="57"/>
        <v>0</v>
      </c>
      <c r="X245" s="189">
        <f t="shared" si="58"/>
        <v>0</v>
      </c>
      <c r="Y245" s="189">
        <f t="shared" si="59"/>
        <v>0</v>
      </c>
      <c r="Z245" s="189">
        <f t="shared" si="60"/>
        <v>0</v>
      </c>
      <c r="AA245" s="189">
        <f t="shared" si="61"/>
        <v>0.16666666666666666</v>
      </c>
      <c r="AB245" s="189">
        <f t="shared" si="62"/>
        <v>0</v>
      </c>
      <c r="AC245" s="189">
        <f t="shared" si="63"/>
        <v>0</v>
      </c>
      <c r="AD245" s="189">
        <f t="shared" si="64"/>
        <v>0.16666666666666666</v>
      </c>
      <c r="AE245" s="189">
        <f t="shared" si="65"/>
        <v>0.16666666666666666</v>
      </c>
      <c r="AF245" s="189">
        <f t="shared" si="52"/>
        <v>3.150929524209642E-4</v>
      </c>
      <c r="AG245" s="189">
        <f>town_establishments[[#This Row],[share of state establishments]]/($AF$250-$AF$249)</f>
        <v>3.2592753544461947E-4</v>
      </c>
      <c r="AH245" s="189">
        <f>town_establishments[[#This Row],[share of state establishments (no residual)]]/(INDEX(regional_establishments[share of state establishments],MATCH(town_establishments[[#This Row],[Regional Planning Commission]],regional_establishments[Regional Planning Commission],0)))</f>
        <v>2.9571217348447511E-3</v>
      </c>
    </row>
    <row r="246" spans="1:34" x14ac:dyDescent="0.25">
      <c r="A246" t="s">
        <v>462</v>
      </c>
      <c r="B246" t="str">
        <f>INDEX(town_population[Regional Planning Commission],MATCH(town_establishments[[#This Row],[Municipality]],town_population[Municipality],0))</f>
        <v>Bennington County Regional Commission</v>
      </c>
      <c r="D246">
        <v>1</v>
      </c>
      <c r="I246">
        <v>0</v>
      </c>
      <c r="L246">
        <v>1</v>
      </c>
      <c r="N246">
        <v>1</v>
      </c>
      <c r="Q246">
        <f t="shared" si="50"/>
        <v>3</v>
      </c>
      <c r="R246" s="189">
        <f t="shared" si="51"/>
        <v>0</v>
      </c>
      <c r="S246" s="189">
        <f t="shared" si="53"/>
        <v>0.33333333333333331</v>
      </c>
      <c r="T246" s="189">
        <f t="shared" si="54"/>
        <v>0</v>
      </c>
      <c r="U246" s="189">
        <f t="shared" si="55"/>
        <v>0</v>
      </c>
      <c r="V246" s="189">
        <f t="shared" si="56"/>
        <v>0</v>
      </c>
      <c r="W246" s="189">
        <f t="shared" si="57"/>
        <v>0</v>
      </c>
      <c r="X246" s="189">
        <f t="shared" si="58"/>
        <v>0</v>
      </c>
      <c r="Y246" s="189">
        <f t="shared" si="59"/>
        <v>0</v>
      </c>
      <c r="Z246" s="189">
        <f t="shared" si="60"/>
        <v>0</v>
      </c>
      <c r="AA246" s="189">
        <f t="shared" si="61"/>
        <v>0.33333333333333331</v>
      </c>
      <c r="AB246" s="189">
        <f t="shared" si="62"/>
        <v>0</v>
      </c>
      <c r="AC246" s="189">
        <f t="shared" si="63"/>
        <v>0.33333333333333331</v>
      </c>
      <c r="AD246" s="189">
        <f t="shared" si="64"/>
        <v>0</v>
      </c>
      <c r="AE246" s="189">
        <f t="shared" si="65"/>
        <v>0</v>
      </c>
      <c r="AF246" s="189">
        <f t="shared" si="52"/>
        <v>1.575464762104821E-4</v>
      </c>
      <c r="AG246" s="189">
        <f>town_establishments[[#This Row],[share of state establishments]]/($AF$250-$AF$249)</f>
        <v>1.6296376772230973E-4</v>
      </c>
      <c r="AH246" s="189">
        <f>town_establishments[[#This Row],[share of state establishments (no residual)]]/(INDEX(regional_establishments[share of state establishments],MATCH(town_establishments[[#This Row],[Regional Planning Commission]],regional_establishments[Regional Planning Commission],0)))</f>
        <v>2.6155187445510019E-3</v>
      </c>
    </row>
    <row r="247" spans="1:34" x14ac:dyDescent="0.25">
      <c r="A247" t="s">
        <v>463</v>
      </c>
      <c r="B247" t="str">
        <f>INDEX(town_population[Regional Planning Commission],MATCH(town_establishments[[#This Row],[Municipality]],town_population[Municipality],0))</f>
        <v>Two Rivers-Ottauquechee Regional Commission</v>
      </c>
      <c r="C247">
        <v>9</v>
      </c>
      <c r="D247">
        <v>37</v>
      </c>
      <c r="E247">
        <v>3</v>
      </c>
      <c r="F247">
        <v>10</v>
      </c>
      <c r="G247">
        <v>10</v>
      </c>
      <c r="H247">
        <v>9</v>
      </c>
      <c r="I247">
        <v>32</v>
      </c>
      <c r="K247">
        <v>25</v>
      </c>
      <c r="L247">
        <v>3</v>
      </c>
      <c r="M247">
        <v>20</v>
      </c>
      <c r="N247">
        <v>10</v>
      </c>
      <c r="O247">
        <v>24</v>
      </c>
      <c r="P247">
        <v>33</v>
      </c>
      <c r="Q247">
        <f t="shared" si="50"/>
        <v>225</v>
      </c>
      <c r="R247" s="189">
        <f t="shared" si="51"/>
        <v>0.04</v>
      </c>
      <c r="S247" s="189">
        <f t="shared" si="53"/>
        <v>0.16444444444444445</v>
      </c>
      <c r="T247" s="189">
        <f t="shared" si="54"/>
        <v>1.3333333333333334E-2</v>
      </c>
      <c r="U247" s="189">
        <f t="shared" si="55"/>
        <v>4.4444444444444446E-2</v>
      </c>
      <c r="V247" s="189">
        <f t="shared" si="56"/>
        <v>4.4444444444444446E-2</v>
      </c>
      <c r="W247" s="189">
        <f t="shared" si="57"/>
        <v>0.04</v>
      </c>
      <c r="X247" s="189">
        <f t="shared" si="58"/>
        <v>0.14222222222222222</v>
      </c>
      <c r="Y247" s="189">
        <f t="shared" si="59"/>
        <v>0</v>
      </c>
      <c r="Z247" s="189">
        <f t="shared" si="60"/>
        <v>0.1111111111111111</v>
      </c>
      <c r="AA247" s="189">
        <f t="shared" si="61"/>
        <v>1.3333333333333334E-2</v>
      </c>
      <c r="AB247" s="189">
        <f t="shared" si="62"/>
        <v>8.8888888888888892E-2</v>
      </c>
      <c r="AC247" s="189">
        <f t="shared" si="63"/>
        <v>4.4444444444444446E-2</v>
      </c>
      <c r="AD247" s="189">
        <f t="shared" si="64"/>
        <v>0.10666666666666667</v>
      </c>
      <c r="AE247" s="189">
        <f t="shared" si="65"/>
        <v>0.14666666666666667</v>
      </c>
      <c r="AF247" s="189">
        <f t="shared" si="52"/>
        <v>1.1815985715786157E-2</v>
      </c>
      <c r="AG247" s="189">
        <f>town_establishments[[#This Row],[share of state establishments]]/($AF$250-$AF$249)</f>
        <v>1.2222282579173231E-2</v>
      </c>
      <c r="AH247" s="189">
        <f>town_establishments[[#This Row],[share of state establishments (no residual)]]/(INDEX(regional_establishments[share of state establishments],MATCH(town_establishments[[#This Row],[Regional Planning Commission]],regional_establishments[Regional Planning Commission],0)))</f>
        <v>0.13888888888888892</v>
      </c>
    </row>
    <row r="248" spans="1:34" x14ac:dyDescent="0.25">
      <c r="A248" t="s">
        <v>464</v>
      </c>
      <c r="B248" t="str">
        <f>INDEX(town_population[Regional Planning Commission],MATCH(town_establishments[[#This Row],[Municipality]],town_population[Municipality],0))</f>
        <v>Central Vermont Regional Planning Commission</v>
      </c>
      <c r="C248">
        <v>1</v>
      </c>
      <c r="D248">
        <v>3</v>
      </c>
      <c r="E248">
        <v>1</v>
      </c>
      <c r="F248">
        <v>0</v>
      </c>
      <c r="H248">
        <v>1</v>
      </c>
      <c r="I248">
        <v>7</v>
      </c>
      <c r="K248">
        <v>1</v>
      </c>
      <c r="L248">
        <v>1</v>
      </c>
      <c r="M248">
        <v>2</v>
      </c>
      <c r="P248">
        <v>1</v>
      </c>
      <c r="Q248">
        <f t="shared" si="50"/>
        <v>18</v>
      </c>
      <c r="R248" s="189">
        <f t="shared" si="51"/>
        <v>5.5555555555555552E-2</v>
      </c>
      <c r="S248" s="189">
        <f t="shared" si="53"/>
        <v>0.16666666666666666</v>
      </c>
      <c r="T248" s="189">
        <f t="shared" si="54"/>
        <v>5.5555555555555552E-2</v>
      </c>
      <c r="U248" s="189">
        <f t="shared" si="55"/>
        <v>0</v>
      </c>
      <c r="V248" s="189">
        <f t="shared" si="56"/>
        <v>0</v>
      </c>
      <c r="W248" s="189">
        <f t="shared" si="57"/>
        <v>5.5555555555555552E-2</v>
      </c>
      <c r="X248" s="189">
        <f t="shared" si="58"/>
        <v>0.3888888888888889</v>
      </c>
      <c r="Y248" s="189">
        <f t="shared" si="59"/>
        <v>0</v>
      </c>
      <c r="Z248" s="189">
        <f t="shared" si="60"/>
        <v>5.5555555555555552E-2</v>
      </c>
      <c r="AA248" s="189">
        <f t="shared" si="61"/>
        <v>5.5555555555555552E-2</v>
      </c>
      <c r="AB248" s="189">
        <f t="shared" si="62"/>
        <v>0.1111111111111111</v>
      </c>
      <c r="AC248" s="189">
        <f t="shared" si="63"/>
        <v>0</v>
      </c>
      <c r="AD248" s="189">
        <f t="shared" si="64"/>
        <v>0</v>
      </c>
      <c r="AE248" s="189">
        <f t="shared" si="65"/>
        <v>5.5555555555555552E-2</v>
      </c>
      <c r="AF248" s="189">
        <f t="shared" si="52"/>
        <v>9.4527885726289253E-4</v>
      </c>
      <c r="AG248" s="189">
        <f>town_establishments[[#This Row],[share of state establishments]]/($AF$250-$AF$249)</f>
        <v>9.7778260633385851E-4</v>
      </c>
      <c r="AH248" s="189">
        <f>town_establishments[[#This Row],[share of state establishments (no residual)]]/(INDEX(regional_establishments[share of state establishments],MATCH(town_establishments[[#This Row],[Regional Planning Commission]],regional_establishments[Regional Planning Commission],0)))</f>
        <v>8.8713652045342532E-3</v>
      </c>
    </row>
    <row r="249" spans="1:34" x14ac:dyDescent="0.25">
      <c r="A249" t="s">
        <v>508</v>
      </c>
      <c r="B249" t="e">
        <f>INDEX(town_population[Regional Planning Commission],MATCH(town_establishments[[#This Row],[Municipality]],town_population[Municipality],0))</f>
        <v>#N/A</v>
      </c>
      <c r="C249">
        <v>180</v>
      </c>
      <c r="D249">
        <v>33</v>
      </c>
      <c r="E249">
        <v>15</v>
      </c>
      <c r="F249">
        <v>19</v>
      </c>
      <c r="G249">
        <v>36</v>
      </c>
      <c r="H249">
        <v>8</v>
      </c>
      <c r="I249">
        <v>142</v>
      </c>
      <c r="J249">
        <v>25</v>
      </c>
      <c r="K249">
        <v>115</v>
      </c>
      <c r="L249">
        <v>14</v>
      </c>
      <c r="M249">
        <v>20</v>
      </c>
      <c r="N249">
        <v>3</v>
      </c>
      <c r="O249">
        <v>5</v>
      </c>
      <c r="P249">
        <v>18</v>
      </c>
      <c r="Q249">
        <f t="shared" si="50"/>
        <v>633</v>
      </c>
      <c r="R249" s="189">
        <f t="shared" si="51"/>
        <v>0.28436018957345971</v>
      </c>
      <c r="S249" s="189">
        <f t="shared" si="53"/>
        <v>5.2132701421800945E-2</v>
      </c>
      <c r="T249" s="189">
        <f t="shared" si="54"/>
        <v>2.3696682464454975E-2</v>
      </c>
      <c r="U249" s="189">
        <f t="shared" si="55"/>
        <v>3.0015797788309637E-2</v>
      </c>
      <c r="V249" s="189">
        <f t="shared" si="56"/>
        <v>5.6872037914691941E-2</v>
      </c>
      <c r="W249" s="189">
        <f t="shared" si="57"/>
        <v>1.2638230647709321E-2</v>
      </c>
      <c r="X249" s="189">
        <f t="shared" si="58"/>
        <v>0.22432859399684044</v>
      </c>
      <c r="Y249" s="189">
        <f t="shared" si="59"/>
        <v>3.9494470774091628E-2</v>
      </c>
      <c r="Z249" s="189">
        <f t="shared" si="60"/>
        <v>0.18167456556082148</v>
      </c>
      <c r="AA249" s="189">
        <f t="shared" si="61"/>
        <v>2.2116903633491312E-2</v>
      </c>
      <c r="AB249" s="189">
        <f t="shared" si="62"/>
        <v>3.15955766192733E-2</v>
      </c>
      <c r="AC249" s="189">
        <f t="shared" si="63"/>
        <v>4.7393364928909956E-3</v>
      </c>
      <c r="AD249" s="189">
        <f t="shared" si="64"/>
        <v>7.8988941548183249E-3</v>
      </c>
      <c r="AE249" s="189">
        <f t="shared" si="65"/>
        <v>2.843601895734597E-2</v>
      </c>
      <c r="AF249" s="189">
        <f t="shared" si="52"/>
        <v>3.3242306480411724E-2</v>
      </c>
      <c r="AG249" s="189">
        <f>town_establishments[[#This Row],[share of state establishments]]/($AF$250-$AF$249)</f>
        <v>3.4385354989407355E-2</v>
      </c>
      <c r="AH249" s="189" t="e">
        <f>town_establishments[[#This Row],[share of state establishments (no residual)]]/(INDEX(regional_establishments[share of state establishments],MATCH(town_establishments[[#This Row],[Regional Planning Commission]],regional_establishments[Regional Planning Commission],0)))</f>
        <v>#N/A</v>
      </c>
    </row>
    <row r="250" spans="1:34" x14ac:dyDescent="0.25">
      <c r="A250" t="s">
        <v>510</v>
      </c>
      <c r="B250" t="e">
        <f>INDEX(town_population[Regional Planning Commission],MATCH(town_establishments[[#This Row],[Municipality]],town_population[Municipality],0))</f>
        <v>#N/A</v>
      </c>
      <c r="C250">
        <f>SUM(C3:C249)</f>
        <v>1424</v>
      </c>
      <c r="D250">
        <f t="shared" ref="D250:P250" si="66">SUM(D3:D249)</f>
        <v>3136</v>
      </c>
      <c r="E250">
        <f t="shared" si="66"/>
        <v>633</v>
      </c>
      <c r="F250">
        <f t="shared" si="66"/>
        <v>489</v>
      </c>
      <c r="G250">
        <f t="shared" si="66"/>
        <v>943</v>
      </c>
      <c r="H250">
        <f t="shared" si="66"/>
        <v>720</v>
      </c>
      <c r="I250">
        <f t="shared" si="66"/>
        <v>3215</v>
      </c>
      <c r="J250">
        <f t="shared" si="66"/>
        <v>111</v>
      </c>
      <c r="K250">
        <f t="shared" si="66"/>
        <v>1634</v>
      </c>
      <c r="L250">
        <f t="shared" si="66"/>
        <v>549</v>
      </c>
      <c r="M250">
        <f t="shared" si="66"/>
        <v>1923</v>
      </c>
      <c r="N250">
        <f t="shared" si="66"/>
        <v>423</v>
      </c>
      <c r="O250">
        <f t="shared" si="66"/>
        <v>1835</v>
      </c>
      <c r="P250">
        <f t="shared" si="66"/>
        <v>2007</v>
      </c>
      <c r="Q250">
        <f t="shared" si="50"/>
        <v>19042</v>
      </c>
      <c r="R250" s="189">
        <f t="shared" si="51"/>
        <v>7.4782060707908826E-2</v>
      </c>
      <c r="S250" s="189">
        <f t="shared" si="53"/>
        <v>0.16468858313202395</v>
      </c>
      <c r="T250" s="189">
        <f t="shared" si="54"/>
        <v>3.3242306480411724E-2</v>
      </c>
      <c r="U250" s="189">
        <f t="shared" si="55"/>
        <v>2.568007562230858E-2</v>
      </c>
      <c r="V250" s="189">
        <f t="shared" si="56"/>
        <v>4.9522109022161538E-2</v>
      </c>
      <c r="W250" s="189">
        <f t="shared" si="57"/>
        <v>3.7811154290515701E-2</v>
      </c>
      <c r="X250" s="189">
        <f t="shared" si="58"/>
        <v>0.16883730700556665</v>
      </c>
      <c r="Y250" s="189">
        <f t="shared" si="59"/>
        <v>5.8292196197878374E-3</v>
      </c>
      <c r="Z250" s="189">
        <f t="shared" si="60"/>
        <v>8.5810314042642583E-2</v>
      </c>
      <c r="AA250" s="189">
        <f t="shared" si="61"/>
        <v>2.8831005146518224E-2</v>
      </c>
      <c r="AB250" s="189">
        <f t="shared" si="62"/>
        <v>0.10098729125091901</v>
      </c>
      <c r="AC250" s="189">
        <f t="shared" si="63"/>
        <v>2.2214053145677974E-2</v>
      </c>
      <c r="AD250" s="189">
        <f t="shared" si="64"/>
        <v>9.6365927948744878E-2</v>
      </c>
      <c r="AE250" s="189">
        <f t="shared" si="65"/>
        <v>0.10539859258481252</v>
      </c>
      <c r="AF250" s="189">
        <f t="shared" si="52"/>
        <v>1</v>
      </c>
      <c r="AG250" s="189">
        <f>town_establishments[[#This Row],[share of state establishments]]/($AF$250-$AF$249)</f>
        <v>1.0343853549894073</v>
      </c>
      <c r="AH250" s="189" t="e">
        <f>town_establishments[[#This Row],[share of state establishments (no residual)]]/(INDEX(regional_establishments[share of state establishments],MATCH(town_establishments[[#This Row],[Regional Planning Commission]],regional_establishments[Regional Planning Commission],0)))</f>
        <v>#N/A</v>
      </c>
    </row>
  </sheetData>
  <pageMargins left="0.7" right="0.7" top="0.75" bottom="0.75" header="0.3" footer="0.3"/>
  <tableParts count="2">
    <tablePart r:id="rId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8"/>
  <sheetViews>
    <sheetView workbookViewId="0">
      <selection activeCell="E20" sqref="E20"/>
    </sheetView>
  </sheetViews>
  <sheetFormatPr defaultRowHeight="15" x14ac:dyDescent="0.25"/>
  <sheetData>
    <row r="2" spans="1:8" x14ac:dyDescent="0.25">
      <c r="B2" t="s">
        <v>551</v>
      </c>
      <c r="C2" t="s">
        <v>279</v>
      </c>
      <c r="D2" t="s">
        <v>552</v>
      </c>
      <c r="E2" t="s">
        <v>553</v>
      </c>
    </row>
    <row r="3" spans="1:8" x14ac:dyDescent="0.25">
      <c r="A3" t="s">
        <v>554</v>
      </c>
      <c r="B3" s="216">
        <f>SUM(B4:B5)</f>
        <v>11200</v>
      </c>
      <c r="C3" s="216">
        <f t="shared" ref="C3:D3" si="0">SUM(C4:C5)</f>
        <v>2701</v>
      </c>
      <c r="D3" s="216">
        <f t="shared" si="0"/>
        <v>12287</v>
      </c>
      <c r="E3" s="217">
        <f>SUM(B3:D3)</f>
        <v>26188</v>
      </c>
    </row>
    <row r="4" spans="1:8" x14ac:dyDescent="0.25">
      <c r="A4" t="s">
        <v>555</v>
      </c>
      <c r="B4" s="216">
        <v>8789</v>
      </c>
      <c r="C4">
        <v>2156</v>
      </c>
      <c r="D4">
        <v>9047</v>
      </c>
      <c r="E4" s="217">
        <f t="shared" ref="E4:E5" si="1">SUM(B4:D4)</f>
        <v>19992</v>
      </c>
    </row>
    <row r="5" spans="1:8" x14ac:dyDescent="0.25">
      <c r="A5" t="s">
        <v>556</v>
      </c>
      <c r="B5" s="216">
        <v>2411</v>
      </c>
      <c r="C5">
        <v>545</v>
      </c>
      <c r="D5">
        <v>3240</v>
      </c>
      <c r="E5" s="217">
        <f t="shared" si="1"/>
        <v>6196</v>
      </c>
    </row>
    <row r="6" spans="1:8" x14ac:dyDescent="0.25">
      <c r="B6" s="216"/>
      <c r="E6" s="217"/>
    </row>
    <row r="7" spans="1:8" x14ac:dyDescent="0.25">
      <c r="A7" t="s">
        <v>557</v>
      </c>
      <c r="B7" t="s">
        <v>558</v>
      </c>
      <c r="C7" t="s">
        <v>556</v>
      </c>
      <c r="D7" t="s">
        <v>12</v>
      </c>
      <c r="E7" t="s">
        <v>559</v>
      </c>
      <c r="F7" t="s">
        <v>560</v>
      </c>
      <c r="G7" t="s">
        <v>561</v>
      </c>
      <c r="H7" t="s">
        <v>562</v>
      </c>
    </row>
    <row r="8" spans="1:8" ht="15.75" x14ac:dyDescent="0.25">
      <c r="A8" s="218" t="s">
        <v>202</v>
      </c>
      <c r="B8">
        <v>347</v>
      </c>
      <c r="C8">
        <v>44</v>
      </c>
      <c r="D8">
        <f>SUM(B8:C8)</f>
        <v>391</v>
      </c>
      <c r="E8" s="215">
        <f>D8/$E$3</f>
        <v>1.4930502520238278E-2</v>
      </c>
      <c r="F8" s="216">
        <v>59739</v>
      </c>
      <c r="G8" s="216">
        <f>F8/D8</f>
        <v>152.78516624040921</v>
      </c>
      <c r="H8" s="219">
        <f>G8*E8</f>
        <v>2.2811593096074541</v>
      </c>
    </row>
    <row r="9" spans="1:8" ht="15.75" x14ac:dyDescent="0.25">
      <c r="A9" s="220" t="s">
        <v>218</v>
      </c>
      <c r="B9">
        <v>500</v>
      </c>
      <c r="C9">
        <v>118</v>
      </c>
      <c r="D9">
        <f>SUM(B9:C9)</f>
        <v>618</v>
      </c>
      <c r="E9" s="215">
        <f>D9/$E$3</f>
        <v>2.3598594776233391E-2</v>
      </c>
      <c r="F9" s="216">
        <v>88406</v>
      </c>
      <c r="G9" s="216">
        <f>F9/D9</f>
        <v>143.05177993527508</v>
      </c>
      <c r="H9" s="219">
        <f>G9*E9</f>
        <v>3.3758209867114712</v>
      </c>
    </row>
    <row r="10" spans="1:8" ht="15.75" x14ac:dyDescent="0.25">
      <c r="A10" s="218" t="s">
        <v>222</v>
      </c>
      <c r="B10">
        <v>803</v>
      </c>
      <c r="C10">
        <v>272</v>
      </c>
      <c r="D10">
        <f t="shared" ref="D10:D57" si="2">SUM(B10:C10)</f>
        <v>1075</v>
      </c>
      <c r="E10" s="215">
        <f t="shared" ref="E10:E57" si="3">D10/$E$3</f>
        <v>4.1049335573545134E-2</v>
      </c>
      <c r="F10" s="216">
        <v>140086</v>
      </c>
      <c r="G10" s="216">
        <f t="shared" ref="G10:G57" si="4">F10/D10</f>
        <v>130.31255813953487</v>
      </c>
      <c r="H10" s="219">
        <f t="shared" ref="H10:H57" si="5">G10*E10</f>
        <v>5.3492439285168771</v>
      </c>
    </row>
    <row r="11" spans="1:8" ht="15.75" x14ac:dyDescent="0.25">
      <c r="A11" s="220" t="s">
        <v>231</v>
      </c>
      <c r="B11">
        <v>87</v>
      </c>
      <c r="C11">
        <v>18</v>
      </c>
      <c r="D11">
        <f t="shared" si="2"/>
        <v>105</v>
      </c>
      <c r="E11" s="215">
        <f t="shared" si="3"/>
        <v>4.0094699862532456E-3</v>
      </c>
      <c r="F11" s="216">
        <v>12715</v>
      </c>
      <c r="G11" s="216">
        <f t="shared" si="4"/>
        <v>121.0952380952381</v>
      </c>
      <c r="H11" s="219">
        <f t="shared" si="5"/>
        <v>0.48552772262104782</v>
      </c>
    </row>
    <row r="12" spans="1:8" ht="15.75" x14ac:dyDescent="0.25">
      <c r="A12" s="218" t="s">
        <v>240</v>
      </c>
      <c r="B12">
        <v>272</v>
      </c>
      <c r="C12">
        <v>142</v>
      </c>
      <c r="D12">
        <f t="shared" si="2"/>
        <v>414</v>
      </c>
      <c r="E12" s="215">
        <f t="shared" si="3"/>
        <v>1.5808767374369939E-2</v>
      </c>
      <c r="F12" s="216">
        <v>50491</v>
      </c>
      <c r="G12" s="216">
        <f t="shared" si="4"/>
        <v>121.95893719806763</v>
      </c>
      <c r="H12" s="219">
        <f t="shared" si="5"/>
        <v>1.9280204673896439</v>
      </c>
    </row>
    <row r="13" spans="1:8" ht="15.75" x14ac:dyDescent="0.25">
      <c r="A13" s="220" t="s">
        <v>244</v>
      </c>
      <c r="B13">
        <v>363</v>
      </c>
      <c r="C13">
        <v>43</v>
      </c>
      <c r="D13">
        <f t="shared" si="2"/>
        <v>406</v>
      </c>
      <c r="E13" s="215">
        <f t="shared" si="3"/>
        <v>1.5503283946845884E-2</v>
      </c>
      <c r="F13" s="216">
        <v>52056</v>
      </c>
      <c r="G13" s="216">
        <f t="shared" si="4"/>
        <v>128.21674876847291</v>
      </c>
      <c r="H13" s="219">
        <f t="shared" si="5"/>
        <v>1.987780662899038</v>
      </c>
    </row>
    <row r="14" spans="1:8" ht="15.75" x14ac:dyDescent="0.25">
      <c r="A14" s="218" t="s">
        <v>245</v>
      </c>
      <c r="B14">
        <v>32</v>
      </c>
      <c r="C14">
        <v>4</v>
      </c>
      <c r="D14">
        <f t="shared" si="2"/>
        <v>36</v>
      </c>
      <c r="E14" s="215">
        <f t="shared" si="3"/>
        <v>1.3746754238582557E-3</v>
      </c>
      <c r="F14" s="216">
        <v>4469</v>
      </c>
      <c r="G14" s="216">
        <f t="shared" si="4"/>
        <v>124.13888888888889</v>
      </c>
      <c r="H14" s="219">
        <f t="shared" si="5"/>
        <v>0.17065067970062622</v>
      </c>
    </row>
    <row r="15" spans="1:8" ht="15.75" x14ac:dyDescent="0.25">
      <c r="A15" s="218" t="s">
        <v>247</v>
      </c>
      <c r="B15">
        <v>479</v>
      </c>
      <c r="C15">
        <v>152</v>
      </c>
      <c r="D15">
        <f t="shared" si="2"/>
        <v>631</v>
      </c>
      <c r="E15" s="215">
        <f t="shared" si="3"/>
        <v>2.4095005345959982E-2</v>
      </c>
      <c r="F15" s="216">
        <v>77050</v>
      </c>
      <c r="G15" s="216">
        <f t="shared" si="4"/>
        <v>122.10776545166402</v>
      </c>
      <c r="H15" s="219">
        <f t="shared" si="5"/>
        <v>2.942187261341072</v>
      </c>
    </row>
    <row r="16" spans="1:8" ht="15.75" x14ac:dyDescent="0.25">
      <c r="A16" s="220" t="s">
        <v>252</v>
      </c>
      <c r="B16">
        <v>362</v>
      </c>
      <c r="C16">
        <v>88</v>
      </c>
      <c r="D16">
        <f t="shared" si="2"/>
        <v>450</v>
      </c>
      <c r="E16" s="215">
        <f t="shared" si="3"/>
        <v>1.7183442798228196E-2</v>
      </c>
      <c r="F16" s="216">
        <v>60321</v>
      </c>
      <c r="G16" s="216">
        <f t="shared" si="4"/>
        <v>134.04666666666665</v>
      </c>
      <c r="H16" s="219">
        <f t="shared" si="5"/>
        <v>2.3033832289598286</v>
      </c>
    </row>
    <row r="17" spans="1:8" ht="15.75" x14ac:dyDescent="0.25">
      <c r="A17" s="218" t="s">
        <v>255</v>
      </c>
      <c r="B17">
        <v>348</v>
      </c>
      <c r="C17">
        <v>112</v>
      </c>
      <c r="D17">
        <f t="shared" si="2"/>
        <v>460</v>
      </c>
      <c r="E17" s="215">
        <f t="shared" si="3"/>
        <v>1.7565297082633269E-2</v>
      </c>
      <c r="F17" s="216">
        <v>57497</v>
      </c>
      <c r="G17" s="216">
        <f t="shared" si="4"/>
        <v>124.99347826086957</v>
      </c>
      <c r="H17" s="219">
        <f t="shared" si="5"/>
        <v>2.1955475790438372</v>
      </c>
    </row>
    <row r="18" spans="1:8" ht="15.75" x14ac:dyDescent="0.25">
      <c r="A18" s="220" t="s">
        <v>262</v>
      </c>
      <c r="B18">
        <v>434</v>
      </c>
      <c r="C18">
        <v>103</v>
      </c>
      <c r="D18">
        <f t="shared" si="2"/>
        <v>537</v>
      </c>
      <c r="E18" s="215">
        <f t="shared" si="3"/>
        <v>2.0505575072552313E-2</v>
      </c>
      <c r="F18" s="216">
        <v>61323</v>
      </c>
      <c r="G18" s="216">
        <f t="shared" si="4"/>
        <v>114.19553072625699</v>
      </c>
      <c r="H18" s="219">
        <f t="shared" si="5"/>
        <v>2.3416450282572172</v>
      </c>
    </row>
    <row r="19" spans="1:8" ht="15.75" x14ac:dyDescent="0.25">
      <c r="A19" s="218" t="s">
        <v>265</v>
      </c>
      <c r="B19">
        <v>335</v>
      </c>
      <c r="C19">
        <v>78</v>
      </c>
      <c r="D19">
        <f t="shared" si="2"/>
        <v>413</v>
      </c>
      <c r="E19" s="215">
        <f t="shared" si="3"/>
        <v>1.5770581945929434E-2</v>
      </c>
      <c r="F19" s="216">
        <v>50407</v>
      </c>
      <c r="G19" s="216">
        <f t="shared" si="4"/>
        <v>122.05084745762711</v>
      </c>
      <c r="H19" s="219">
        <f t="shared" si="5"/>
        <v>1.9248128914006415</v>
      </c>
    </row>
    <row r="20" spans="1:8" ht="15.75" x14ac:dyDescent="0.25">
      <c r="A20" s="220" t="s">
        <v>266</v>
      </c>
      <c r="B20">
        <v>399</v>
      </c>
      <c r="C20">
        <v>57</v>
      </c>
      <c r="D20">
        <f t="shared" si="2"/>
        <v>456</v>
      </c>
      <c r="E20" s="215">
        <f t="shared" si="3"/>
        <v>1.7412555368871239E-2</v>
      </c>
      <c r="F20" s="216">
        <v>67976</v>
      </c>
      <c r="G20" s="216">
        <f t="shared" si="4"/>
        <v>149.07017543859649</v>
      </c>
      <c r="H20" s="219">
        <f t="shared" si="5"/>
        <v>2.5956926836719107</v>
      </c>
    </row>
    <row r="21" spans="1:8" ht="15.75" x14ac:dyDescent="0.25">
      <c r="A21" s="218" t="s">
        <v>268</v>
      </c>
      <c r="B21">
        <v>811</v>
      </c>
      <c r="C21">
        <v>80</v>
      </c>
      <c r="D21">
        <f t="shared" si="2"/>
        <v>891</v>
      </c>
      <c r="E21" s="215">
        <f t="shared" si="3"/>
        <v>3.402321674049183E-2</v>
      </c>
      <c r="F21" s="216">
        <v>124936</v>
      </c>
      <c r="G21" s="216">
        <f t="shared" si="4"/>
        <v>140.21997755331088</v>
      </c>
      <c r="H21" s="219">
        <f t="shared" si="5"/>
        <v>4.7707346876431957</v>
      </c>
    </row>
    <row r="22" spans="1:8" ht="15.75" x14ac:dyDescent="0.25">
      <c r="A22" s="218" t="s">
        <v>269</v>
      </c>
      <c r="B22">
        <v>1563</v>
      </c>
      <c r="C22">
        <v>434</v>
      </c>
      <c r="D22">
        <f t="shared" si="2"/>
        <v>1997</v>
      </c>
      <c r="E22" s="215">
        <f t="shared" si="3"/>
        <v>7.6256300595692689E-2</v>
      </c>
      <c r="F22" s="216">
        <v>214946</v>
      </c>
      <c r="G22" s="216">
        <f t="shared" si="4"/>
        <v>107.63445167751627</v>
      </c>
      <c r="H22" s="219">
        <f t="shared" si="5"/>
        <v>8.2078051015732392</v>
      </c>
    </row>
    <row r="23" spans="1:8" ht="15.75" x14ac:dyDescent="0.25">
      <c r="A23" s="220" t="s">
        <v>274</v>
      </c>
      <c r="B23">
        <v>113</v>
      </c>
      <c r="C23">
        <v>9</v>
      </c>
      <c r="D23">
        <f t="shared" si="2"/>
        <v>122</v>
      </c>
      <c r="E23" s="215">
        <f t="shared" si="3"/>
        <v>4.6586222697418663E-3</v>
      </c>
      <c r="F23" s="216">
        <v>15124</v>
      </c>
      <c r="G23" s="216">
        <f t="shared" si="4"/>
        <v>123.9672131147541</v>
      </c>
      <c r="H23" s="219">
        <f t="shared" si="5"/>
        <v>0.5775164197342294</v>
      </c>
    </row>
    <row r="24" spans="1:8" ht="15.75" x14ac:dyDescent="0.25">
      <c r="A24" s="218" t="s">
        <v>291</v>
      </c>
      <c r="B24">
        <v>396</v>
      </c>
      <c r="C24">
        <v>77</v>
      </c>
      <c r="D24">
        <f t="shared" si="2"/>
        <v>473</v>
      </c>
      <c r="E24" s="215">
        <f t="shared" si="3"/>
        <v>1.806170765235986E-2</v>
      </c>
      <c r="F24" s="216">
        <v>64017</v>
      </c>
      <c r="G24" s="216">
        <f t="shared" si="4"/>
        <v>135.34249471458773</v>
      </c>
      <c r="H24" s="219">
        <f t="shared" si="5"/>
        <v>2.4445165724759432</v>
      </c>
    </row>
    <row r="25" spans="1:8" ht="15.75" x14ac:dyDescent="0.25">
      <c r="A25" s="220" t="s">
        <v>294</v>
      </c>
      <c r="B25">
        <v>36</v>
      </c>
      <c r="C25">
        <v>4</v>
      </c>
      <c r="D25">
        <f t="shared" si="2"/>
        <v>40</v>
      </c>
      <c r="E25" s="215">
        <f t="shared" si="3"/>
        <v>1.5274171376202842E-3</v>
      </c>
      <c r="F25" s="216">
        <v>5822</v>
      </c>
      <c r="G25" s="216">
        <f t="shared" si="4"/>
        <v>145.55000000000001</v>
      </c>
      <c r="H25" s="219">
        <f t="shared" si="5"/>
        <v>0.22231556438063238</v>
      </c>
    </row>
    <row r="26" spans="1:8" ht="15.75" x14ac:dyDescent="0.25">
      <c r="A26" s="218" t="s">
        <v>297</v>
      </c>
      <c r="B26">
        <v>281</v>
      </c>
      <c r="C26">
        <v>41</v>
      </c>
      <c r="D26">
        <f t="shared" si="2"/>
        <v>322</v>
      </c>
      <c r="E26" s="215">
        <f t="shared" si="3"/>
        <v>1.2295707957843287E-2</v>
      </c>
      <c r="F26" s="216">
        <v>41358</v>
      </c>
      <c r="G26" s="216">
        <f t="shared" si="4"/>
        <v>128.44099378881987</v>
      </c>
      <c r="H26" s="219">
        <f t="shared" si="5"/>
        <v>1.5792729494424926</v>
      </c>
    </row>
    <row r="27" spans="1:8" ht="15.75" x14ac:dyDescent="0.25">
      <c r="A27" s="220" t="s">
        <v>298</v>
      </c>
      <c r="B27">
        <v>314</v>
      </c>
      <c r="C27">
        <v>66</v>
      </c>
      <c r="D27">
        <f t="shared" si="2"/>
        <v>380</v>
      </c>
      <c r="E27" s="215">
        <f t="shared" si="3"/>
        <v>1.45104628073927E-2</v>
      </c>
      <c r="F27" s="216">
        <v>57180</v>
      </c>
      <c r="G27" s="216">
        <f t="shared" si="4"/>
        <v>150.47368421052633</v>
      </c>
      <c r="H27" s="219">
        <f t="shared" si="5"/>
        <v>2.1834427982281963</v>
      </c>
    </row>
    <row r="28" spans="1:8" ht="15.75" x14ac:dyDescent="0.25">
      <c r="A28" s="218" t="s">
        <v>299</v>
      </c>
      <c r="B28">
        <v>96</v>
      </c>
      <c r="C28">
        <v>13</v>
      </c>
      <c r="D28">
        <f t="shared" si="2"/>
        <v>109</v>
      </c>
      <c r="E28" s="215">
        <f t="shared" si="3"/>
        <v>4.1622117000152739E-3</v>
      </c>
      <c r="F28" s="216">
        <v>12335</v>
      </c>
      <c r="G28" s="216">
        <f t="shared" si="4"/>
        <v>113.1651376146789</v>
      </c>
      <c r="H28" s="219">
        <f t="shared" si="5"/>
        <v>0.47101725981365505</v>
      </c>
    </row>
    <row r="29" spans="1:8" ht="15.75" x14ac:dyDescent="0.25">
      <c r="A29" s="218" t="s">
        <v>303</v>
      </c>
      <c r="B29">
        <v>803</v>
      </c>
      <c r="C29">
        <v>377</v>
      </c>
      <c r="D29">
        <f t="shared" si="2"/>
        <v>1180</v>
      </c>
      <c r="E29" s="215">
        <f t="shared" si="3"/>
        <v>4.5058805559798382E-2</v>
      </c>
      <c r="F29" s="216">
        <v>146373</v>
      </c>
      <c r="G29" s="216">
        <f t="shared" si="4"/>
        <v>124.04491525423728</v>
      </c>
      <c r="H29" s="219">
        <f t="shared" si="5"/>
        <v>5.5893157171223455</v>
      </c>
    </row>
    <row r="30" spans="1:8" ht="15.75" x14ac:dyDescent="0.25">
      <c r="A30" s="220" t="s">
        <v>308</v>
      </c>
      <c r="B30">
        <v>261</v>
      </c>
      <c r="C30">
        <v>21</v>
      </c>
      <c r="D30">
        <f t="shared" si="2"/>
        <v>282</v>
      </c>
      <c r="E30" s="215">
        <f t="shared" si="3"/>
        <v>1.0768290820223002E-2</v>
      </c>
      <c r="F30" s="216">
        <v>38718</v>
      </c>
      <c r="G30" s="216">
        <f t="shared" si="4"/>
        <v>137.29787234042553</v>
      </c>
      <c r="H30" s="219">
        <f t="shared" si="5"/>
        <v>1.4784634183595537</v>
      </c>
    </row>
    <row r="31" spans="1:8" ht="15.75" x14ac:dyDescent="0.25">
      <c r="A31" s="218" t="s">
        <v>313</v>
      </c>
      <c r="B31">
        <v>435</v>
      </c>
      <c r="C31">
        <v>86</v>
      </c>
      <c r="D31">
        <f t="shared" si="2"/>
        <v>521</v>
      </c>
      <c r="E31" s="215">
        <f t="shared" si="3"/>
        <v>1.98946082175042E-2</v>
      </c>
      <c r="F31" s="216">
        <v>64562</v>
      </c>
      <c r="G31" s="216">
        <f t="shared" si="4"/>
        <v>123.9193857965451</v>
      </c>
      <c r="H31" s="219">
        <f t="shared" si="5"/>
        <v>2.4653276309760193</v>
      </c>
    </row>
    <row r="32" spans="1:8" ht="15.75" x14ac:dyDescent="0.25">
      <c r="A32" s="220" t="s">
        <v>316</v>
      </c>
      <c r="B32">
        <v>211</v>
      </c>
      <c r="C32">
        <v>65</v>
      </c>
      <c r="D32">
        <f t="shared" si="2"/>
        <v>276</v>
      </c>
      <c r="E32" s="215">
        <f t="shared" si="3"/>
        <v>1.0539178249579961E-2</v>
      </c>
      <c r="F32" s="216">
        <v>31063</v>
      </c>
      <c r="G32" s="216">
        <f t="shared" si="4"/>
        <v>112.54710144927536</v>
      </c>
      <c r="H32" s="219">
        <f t="shared" si="5"/>
        <v>1.1861539636474721</v>
      </c>
    </row>
    <row r="33" spans="1:8" ht="15.75" x14ac:dyDescent="0.25">
      <c r="A33" s="218" t="s">
        <v>320</v>
      </c>
      <c r="B33">
        <v>147</v>
      </c>
      <c r="C33">
        <v>17</v>
      </c>
      <c r="D33">
        <f t="shared" si="2"/>
        <v>164</v>
      </c>
      <c r="E33" s="215">
        <f t="shared" si="3"/>
        <v>6.262410264243165E-3</v>
      </c>
      <c r="F33" s="216">
        <v>25742</v>
      </c>
      <c r="G33" s="216">
        <f t="shared" si="4"/>
        <v>156.96341463414635</v>
      </c>
      <c r="H33" s="219">
        <f t="shared" si="5"/>
        <v>0.98296929891553386</v>
      </c>
    </row>
    <row r="34" spans="1:8" ht="15.75" x14ac:dyDescent="0.25">
      <c r="A34" s="220" t="s">
        <v>323</v>
      </c>
      <c r="B34">
        <v>58</v>
      </c>
      <c r="C34">
        <v>7</v>
      </c>
      <c r="D34">
        <f t="shared" si="2"/>
        <v>65</v>
      </c>
      <c r="E34" s="215">
        <f t="shared" si="3"/>
        <v>2.4820528486329619E-3</v>
      </c>
      <c r="F34" s="216">
        <v>7197</v>
      </c>
      <c r="G34" s="216">
        <f t="shared" si="4"/>
        <v>110.72307692307692</v>
      </c>
      <c r="H34" s="219">
        <f t="shared" si="5"/>
        <v>0.2748205284863296</v>
      </c>
    </row>
    <row r="35" spans="1:8" ht="15.75" x14ac:dyDescent="0.25">
      <c r="A35" s="218" t="s">
        <v>327</v>
      </c>
      <c r="B35">
        <v>257</v>
      </c>
      <c r="C35">
        <v>49</v>
      </c>
      <c r="D35">
        <f t="shared" si="2"/>
        <v>306</v>
      </c>
      <c r="E35" s="215">
        <f t="shared" si="3"/>
        <v>1.1684741102795174E-2</v>
      </c>
      <c r="F35" s="216">
        <v>43347</v>
      </c>
      <c r="G35" s="216">
        <f t="shared" si="4"/>
        <v>141.65686274509804</v>
      </c>
      <c r="H35" s="219">
        <f t="shared" si="5"/>
        <v>1.6552237666106615</v>
      </c>
    </row>
    <row r="36" spans="1:8" ht="15.75" x14ac:dyDescent="0.25">
      <c r="A36" s="218" t="s">
        <v>329</v>
      </c>
      <c r="B36">
        <v>448</v>
      </c>
      <c r="C36">
        <v>128</v>
      </c>
      <c r="D36">
        <f t="shared" si="2"/>
        <v>576</v>
      </c>
      <c r="E36" s="215">
        <f t="shared" si="3"/>
        <v>2.1994806781732091E-2</v>
      </c>
      <c r="F36" s="216">
        <v>72485</v>
      </c>
      <c r="G36" s="216">
        <f t="shared" si="4"/>
        <v>125.84201388888889</v>
      </c>
      <c r="H36" s="219">
        <f t="shared" si="5"/>
        <v>2.7678707805101572</v>
      </c>
    </row>
    <row r="37" spans="1:8" ht="15.75" x14ac:dyDescent="0.25">
      <c r="A37" s="220" t="s">
        <v>330</v>
      </c>
      <c r="B37">
        <v>1465</v>
      </c>
      <c r="C37">
        <v>825</v>
      </c>
      <c r="D37">
        <f t="shared" si="2"/>
        <v>2290</v>
      </c>
      <c r="E37" s="215">
        <f t="shared" si="3"/>
        <v>8.744463112876126E-2</v>
      </c>
      <c r="F37" s="216">
        <v>222747</v>
      </c>
      <c r="G37" s="216">
        <f t="shared" si="4"/>
        <v>97.26943231441048</v>
      </c>
      <c r="H37" s="219">
        <f t="shared" si="5"/>
        <v>8.5056896288376347</v>
      </c>
    </row>
    <row r="38" spans="1:8" ht="15.75" x14ac:dyDescent="0.25">
      <c r="A38" s="218" t="s">
        <v>331</v>
      </c>
      <c r="B38">
        <v>93</v>
      </c>
      <c r="C38">
        <v>16</v>
      </c>
      <c r="D38">
        <f t="shared" si="2"/>
        <v>109</v>
      </c>
      <c r="E38" s="215">
        <f t="shared" si="3"/>
        <v>4.1622117000152739E-3</v>
      </c>
      <c r="F38" s="216">
        <v>11069</v>
      </c>
      <c r="G38" s="216">
        <f t="shared" si="4"/>
        <v>101.55045871559633</v>
      </c>
      <c r="H38" s="219">
        <f t="shared" si="5"/>
        <v>0.42267450740797313</v>
      </c>
    </row>
    <row r="39" spans="1:8" ht="15.75" x14ac:dyDescent="0.25">
      <c r="A39" s="220" t="s">
        <v>344</v>
      </c>
      <c r="B39">
        <v>241</v>
      </c>
      <c r="C39">
        <v>44</v>
      </c>
      <c r="D39">
        <f t="shared" si="2"/>
        <v>285</v>
      </c>
      <c r="E39" s="215">
        <f t="shared" si="3"/>
        <v>1.0882847105544524E-2</v>
      </c>
      <c r="F39" s="216">
        <v>31033</v>
      </c>
      <c r="G39" s="216">
        <f t="shared" si="4"/>
        <v>108.88771929824561</v>
      </c>
      <c r="H39" s="219">
        <f t="shared" si="5"/>
        <v>1.185008400794257</v>
      </c>
    </row>
    <row r="40" spans="1:8" ht="15.75" x14ac:dyDescent="0.25">
      <c r="A40" s="218" t="s">
        <v>349</v>
      </c>
      <c r="B40">
        <v>193</v>
      </c>
      <c r="C40">
        <v>33</v>
      </c>
      <c r="D40">
        <f t="shared" si="2"/>
        <v>226</v>
      </c>
      <c r="E40" s="215">
        <f t="shared" si="3"/>
        <v>8.6299068275546044E-3</v>
      </c>
      <c r="F40" s="216">
        <v>26951</v>
      </c>
      <c r="G40" s="216">
        <f t="shared" si="4"/>
        <v>119.25221238938053</v>
      </c>
      <c r="H40" s="219">
        <f t="shared" si="5"/>
        <v>1.0291354819001068</v>
      </c>
    </row>
    <row r="41" spans="1:8" ht="15.75" x14ac:dyDescent="0.25">
      <c r="A41" s="220" t="s">
        <v>352</v>
      </c>
      <c r="B41">
        <v>1017</v>
      </c>
      <c r="C41">
        <v>769</v>
      </c>
      <c r="D41">
        <f t="shared" si="2"/>
        <v>1786</v>
      </c>
      <c r="E41" s="215">
        <f t="shared" si="3"/>
        <v>6.8199175194745679E-2</v>
      </c>
      <c r="F41" s="216">
        <v>188629</v>
      </c>
      <c r="G41" s="216">
        <f t="shared" si="4"/>
        <v>105.61534154535275</v>
      </c>
      <c r="H41" s="219">
        <f t="shared" si="5"/>
        <v>7.2028791813044135</v>
      </c>
    </row>
    <row r="42" spans="1:8" ht="15.75" x14ac:dyDescent="0.25">
      <c r="A42" s="218" t="s">
        <v>563</v>
      </c>
      <c r="B42">
        <v>619</v>
      </c>
      <c r="C42">
        <v>89</v>
      </c>
      <c r="D42">
        <f t="shared" si="2"/>
        <v>708</v>
      </c>
      <c r="E42" s="215">
        <f t="shared" si="3"/>
        <v>2.703528333587903E-2</v>
      </c>
      <c r="F42" s="216">
        <v>92999</v>
      </c>
      <c r="G42" s="216">
        <f t="shared" si="4"/>
        <v>131.35451977401129</v>
      </c>
      <c r="H42" s="219">
        <f t="shared" si="5"/>
        <v>3.5512066595387202</v>
      </c>
    </row>
    <row r="43" spans="1:8" ht="15.75" x14ac:dyDescent="0.25">
      <c r="A43" s="218" t="s">
        <v>356</v>
      </c>
      <c r="B43">
        <v>65</v>
      </c>
      <c r="C43">
        <v>11</v>
      </c>
      <c r="D43">
        <f t="shared" si="2"/>
        <v>76</v>
      </c>
      <c r="E43" s="215">
        <f t="shared" si="3"/>
        <v>2.9020925614785397E-3</v>
      </c>
      <c r="F43" s="216">
        <v>8574</v>
      </c>
      <c r="G43" s="216">
        <f t="shared" si="4"/>
        <v>112.81578947368421</v>
      </c>
      <c r="H43" s="219">
        <f t="shared" si="5"/>
        <v>0.32740186344890787</v>
      </c>
    </row>
    <row r="44" spans="1:8" ht="15.75" x14ac:dyDescent="0.25">
      <c r="A44" s="220" t="s">
        <v>362</v>
      </c>
      <c r="B44">
        <v>261</v>
      </c>
      <c r="C44">
        <v>38</v>
      </c>
      <c r="D44">
        <f t="shared" si="2"/>
        <v>299</v>
      </c>
      <c r="E44" s="215">
        <f t="shared" si="3"/>
        <v>1.1417443103711624E-2</v>
      </c>
      <c r="F44" s="216">
        <v>47991</v>
      </c>
      <c r="G44" s="216">
        <f t="shared" si="4"/>
        <v>160.50501672240802</v>
      </c>
      <c r="H44" s="219">
        <f t="shared" si="5"/>
        <v>1.8325568962883763</v>
      </c>
    </row>
    <row r="45" spans="1:8" ht="15.75" x14ac:dyDescent="0.25">
      <c r="A45" s="218" t="s">
        <v>386</v>
      </c>
      <c r="B45">
        <v>372</v>
      </c>
      <c r="C45">
        <v>75</v>
      </c>
      <c r="D45">
        <f t="shared" si="2"/>
        <v>447</v>
      </c>
      <c r="E45" s="215">
        <f t="shared" si="3"/>
        <v>1.7068886512906674E-2</v>
      </c>
      <c r="F45" s="216">
        <v>60955</v>
      </c>
      <c r="G45" s="216">
        <f t="shared" si="4"/>
        <v>136.36465324384787</v>
      </c>
      <c r="H45" s="219">
        <f t="shared" si="5"/>
        <v>2.32759279059111</v>
      </c>
    </row>
    <row r="46" spans="1:8" ht="15.75" x14ac:dyDescent="0.25">
      <c r="A46" s="220" t="s">
        <v>392</v>
      </c>
      <c r="B46">
        <v>228</v>
      </c>
      <c r="C46">
        <v>32</v>
      </c>
      <c r="D46">
        <f t="shared" si="2"/>
        <v>260</v>
      </c>
      <c r="E46" s="215">
        <f t="shared" si="3"/>
        <v>9.9282113945318475E-3</v>
      </c>
      <c r="F46" s="216">
        <v>36821</v>
      </c>
      <c r="G46" s="216">
        <f t="shared" si="4"/>
        <v>141.61923076923077</v>
      </c>
      <c r="H46" s="219">
        <f t="shared" si="5"/>
        <v>1.4060256606079122</v>
      </c>
    </row>
    <row r="47" spans="1:8" ht="15.75" x14ac:dyDescent="0.25">
      <c r="A47" s="218" t="s">
        <v>564</v>
      </c>
      <c r="B47">
        <v>1922</v>
      </c>
      <c r="C47">
        <v>1252</v>
      </c>
      <c r="D47">
        <f t="shared" si="2"/>
        <v>3174</v>
      </c>
      <c r="E47" s="215">
        <f t="shared" si="3"/>
        <v>0.12120054987016954</v>
      </c>
      <c r="F47" s="216">
        <v>368671</v>
      </c>
      <c r="G47" s="216">
        <f t="shared" si="4"/>
        <v>116.15343415248897</v>
      </c>
      <c r="H47" s="219">
        <f t="shared" si="5"/>
        <v>14.077860088590192</v>
      </c>
    </row>
    <row r="48" spans="1:8" ht="15.75" x14ac:dyDescent="0.25">
      <c r="A48" s="220" t="s">
        <v>405</v>
      </c>
      <c r="B48">
        <v>76</v>
      </c>
      <c r="C48">
        <v>18</v>
      </c>
      <c r="D48">
        <f t="shared" si="2"/>
        <v>94</v>
      </c>
      <c r="E48" s="215">
        <f t="shared" si="3"/>
        <v>3.5894302734076678E-3</v>
      </c>
      <c r="F48" s="216">
        <v>15471</v>
      </c>
      <c r="G48" s="216">
        <f t="shared" si="4"/>
        <v>164.58510638297872</v>
      </c>
      <c r="H48" s="219">
        <f t="shared" si="5"/>
        <v>0.59076676340308543</v>
      </c>
    </row>
    <row r="49" spans="1:8" ht="15.75" x14ac:dyDescent="0.25">
      <c r="A49" s="218" t="s">
        <v>413</v>
      </c>
      <c r="B49">
        <v>359</v>
      </c>
      <c r="C49">
        <v>36</v>
      </c>
      <c r="D49">
        <f t="shared" si="2"/>
        <v>395</v>
      </c>
      <c r="E49" s="215">
        <f t="shared" si="3"/>
        <v>1.5083244234000306E-2</v>
      </c>
      <c r="F49" s="216">
        <v>52196</v>
      </c>
      <c r="G49" s="216">
        <f t="shared" si="4"/>
        <v>132.14177215189872</v>
      </c>
      <c r="H49" s="219">
        <f t="shared" si="5"/>
        <v>1.9931266228807085</v>
      </c>
    </row>
    <row r="50" spans="1:8" ht="15.75" x14ac:dyDescent="0.25">
      <c r="A50" s="218" t="s">
        <v>419</v>
      </c>
      <c r="B50">
        <v>564</v>
      </c>
      <c r="C50">
        <v>89</v>
      </c>
      <c r="D50">
        <f t="shared" si="2"/>
        <v>653</v>
      </c>
      <c r="E50" s="215">
        <f t="shared" si="3"/>
        <v>2.4935084771651139E-2</v>
      </c>
      <c r="F50" s="216">
        <v>82191</v>
      </c>
      <c r="G50" s="216">
        <f t="shared" si="4"/>
        <v>125.86676875957122</v>
      </c>
      <c r="H50" s="219">
        <f t="shared" si="5"/>
        <v>3.1384985489537196</v>
      </c>
    </row>
    <row r="51" spans="1:8" ht="15.75" x14ac:dyDescent="0.25">
      <c r="A51" s="220" t="s">
        <v>565</v>
      </c>
      <c r="B51">
        <v>21</v>
      </c>
      <c r="C51">
        <v>0</v>
      </c>
      <c r="D51">
        <f t="shared" si="2"/>
        <v>21</v>
      </c>
      <c r="E51" s="215">
        <f t="shared" si="3"/>
        <v>8.0189399725064917E-4</v>
      </c>
      <c r="F51" s="216">
        <v>2658</v>
      </c>
      <c r="G51" s="216">
        <f t="shared" si="4"/>
        <v>126.57142857142857</v>
      </c>
      <c r="H51" s="219">
        <f t="shared" si="5"/>
        <v>0.10149686879486788</v>
      </c>
    </row>
    <row r="52" spans="1:8" ht="15.75" x14ac:dyDescent="0.25">
      <c r="A52" s="218" t="s">
        <v>425</v>
      </c>
      <c r="B52">
        <v>39</v>
      </c>
      <c r="C52">
        <v>2</v>
      </c>
      <c r="D52">
        <f t="shared" si="2"/>
        <v>41</v>
      </c>
      <c r="E52" s="215">
        <f t="shared" si="3"/>
        <v>1.5656025660607913E-3</v>
      </c>
      <c r="F52" s="216">
        <v>5781</v>
      </c>
      <c r="G52" s="216">
        <f t="shared" si="4"/>
        <v>141</v>
      </c>
      <c r="H52" s="219">
        <f t="shared" si="5"/>
        <v>0.22074996181457157</v>
      </c>
    </row>
    <row r="53" spans="1:8" ht="15.75" x14ac:dyDescent="0.25">
      <c r="A53" s="220" t="s">
        <v>427</v>
      </c>
      <c r="B53">
        <v>339</v>
      </c>
      <c r="C53">
        <v>45</v>
      </c>
      <c r="D53">
        <f t="shared" si="2"/>
        <v>384</v>
      </c>
      <c r="E53" s="215">
        <f t="shared" si="3"/>
        <v>1.4663204521154728E-2</v>
      </c>
      <c r="F53" s="216">
        <v>54795</v>
      </c>
      <c r="G53" s="216">
        <f t="shared" si="4"/>
        <v>142.6953125</v>
      </c>
      <c r="H53" s="219">
        <f t="shared" si="5"/>
        <v>2.0923705513975865</v>
      </c>
    </row>
    <row r="54" spans="1:8" ht="15.75" x14ac:dyDescent="0.25">
      <c r="A54" s="218" t="s">
        <v>436</v>
      </c>
      <c r="B54">
        <v>499</v>
      </c>
      <c r="C54">
        <v>33</v>
      </c>
      <c r="D54">
        <f t="shared" si="2"/>
        <v>532</v>
      </c>
      <c r="E54" s="215">
        <f t="shared" si="3"/>
        <v>2.0314647930349778E-2</v>
      </c>
      <c r="F54" s="216">
        <v>76224</v>
      </c>
      <c r="G54" s="216">
        <f t="shared" si="4"/>
        <v>143.27819548872179</v>
      </c>
      <c r="H54" s="219">
        <f t="shared" si="5"/>
        <v>2.910646097449213</v>
      </c>
    </row>
    <row r="55" spans="1:8" ht="15.75" x14ac:dyDescent="0.25">
      <c r="A55" s="220" t="s">
        <v>444</v>
      </c>
      <c r="B55">
        <v>191</v>
      </c>
      <c r="C55">
        <v>26</v>
      </c>
      <c r="D55">
        <f t="shared" si="2"/>
        <v>217</v>
      </c>
      <c r="E55" s="215">
        <f t="shared" si="3"/>
        <v>8.2862379715900412E-3</v>
      </c>
      <c r="F55" s="216">
        <v>27949</v>
      </c>
      <c r="G55" s="216">
        <f t="shared" si="4"/>
        <v>128.79723502304148</v>
      </c>
      <c r="H55" s="219">
        <f t="shared" si="5"/>
        <v>1.0672445394837331</v>
      </c>
    </row>
    <row r="56" spans="1:8" ht="15.75" x14ac:dyDescent="0.25">
      <c r="A56" s="218" t="s">
        <v>447</v>
      </c>
      <c r="B56">
        <v>158</v>
      </c>
      <c r="C56">
        <v>15</v>
      </c>
      <c r="D56">
        <f t="shared" si="2"/>
        <v>173</v>
      </c>
      <c r="E56" s="215">
        <f t="shared" si="3"/>
        <v>6.6060791202077291E-3</v>
      </c>
      <c r="F56" s="216">
        <v>18428</v>
      </c>
      <c r="G56" s="216">
        <f t="shared" si="4"/>
        <v>106.52023121387283</v>
      </c>
      <c r="H56" s="219">
        <f t="shared" si="5"/>
        <v>0.7036810753016649</v>
      </c>
    </row>
    <row r="57" spans="1:8" ht="15.75" x14ac:dyDescent="0.25">
      <c r="A57" s="218" t="s">
        <v>450</v>
      </c>
      <c r="B57">
        <v>279</v>
      </c>
      <c r="C57">
        <v>45</v>
      </c>
      <c r="D57">
        <f t="shared" si="2"/>
        <v>324</v>
      </c>
      <c r="E57" s="215">
        <f t="shared" si="3"/>
        <v>1.2372078814724302E-2</v>
      </c>
      <c r="F57" s="216">
        <v>45706</v>
      </c>
      <c r="G57" s="216">
        <f t="shared" si="4"/>
        <v>141.0679012345679</v>
      </c>
      <c r="H57" s="219">
        <f t="shared" si="5"/>
        <v>1.7453031923018176</v>
      </c>
    </row>
    <row r="58" spans="1:8" x14ac:dyDescent="0.25">
      <c r="H58" s="219">
        <f>SUM(H8:H57)</f>
        <v>123.17015426913092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3:O27"/>
  <sheetViews>
    <sheetView tabSelected="1" workbookViewId="0">
      <selection activeCell="I10" sqref="I10:K10"/>
    </sheetView>
  </sheetViews>
  <sheetFormatPr defaultRowHeight="15" x14ac:dyDescent="0.25"/>
  <cols>
    <col min="1" max="1" width="9.140625" style="100"/>
    <col min="2" max="8" width="10" style="100" customWidth="1"/>
    <col min="9" max="11" width="8.7109375" style="100" customWidth="1"/>
    <col min="12" max="16384" width="9.140625" style="100"/>
  </cols>
  <sheetData>
    <row r="3" spans="2:15" x14ac:dyDescent="0.25">
      <c r="B3" s="238" t="s">
        <v>492</v>
      </c>
      <c r="C3" s="239"/>
      <c r="D3" s="239"/>
      <c r="E3" s="239"/>
      <c r="F3" s="239"/>
      <c r="G3" s="239"/>
      <c r="H3" s="239"/>
      <c r="I3" s="239"/>
      <c r="J3" s="239"/>
      <c r="K3" s="240"/>
      <c r="O3" t="s">
        <v>213</v>
      </c>
    </row>
    <row r="4" spans="2:15" x14ac:dyDescent="0.25">
      <c r="B4" s="101"/>
      <c r="C4" s="241" t="s">
        <v>493</v>
      </c>
      <c r="D4" s="241"/>
      <c r="E4" s="241"/>
      <c r="F4" s="241"/>
      <c r="G4" s="241"/>
      <c r="H4" s="241"/>
      <c r="I4" s="241"/>
      <c r="J4" s="241"/>
      <c r="K4" s="244"/>
      <c r="O4" t="s">
        <v>246</v>
      </c>
    </row>
    <row r="5" spans="2:15" x14ac:dyDescent="0.25">
      <c r="B5" s="101"/>
      <c r="C5" s="241" t="s">
        <v>155</v>
      </c>
      <c r="D5" s="241"/>
      <c r="E5" s="241"/>
      <c r="F5" s="241"/>
      <c r="G5" s="241"/>
      <c r="H5" s="241"/>
      <c r="I5" s="241"/>
      <c r="J5" s="241"/>
      <c r="K5" s="244"/>
      <c r="O5" t="s">
        <v>285</v>
      </c>
    </row>
    <row r="6" spans="2:15" x14ac:dyDescent="0.25">
      <c r="B6" s="101"/>
      <c r="C6" s="102"/>
      <c r="D6" s="241" t="s">
        <v>153</v>
      </c>
      <c r="E6" s="241"/>
      <c r="F6" s="241"/>
      <c r="G6" s="241"/>
      <c r="H6" s="241"/>
      <c r="I6" s="241"/>
      <c r="J6" s="241"/>
      <c r="K6" s="244"/>
      <c r="O6" t="s">
        <v>290</v>
      </c>
    </row>
    <row r="7" spans="2:15" x14ac:dyDescent="0.25">
      <c r="B7" s="101"/>
      <c r="C7" s="102"/>
      <c r="D7" s="241" t="s">
        <v>154</v>
      </c>
      <c r="E7" s="241"/>
      <c r="F7" s="241"/>
      <c r="G7" s="241"/>
      <c r="H7" s="241"/>
      <c r="I7" s="241"/>
      <c r="J7" s="241"/>
      <c r="K7" s="244"/>
      <c r="O7" t="s">
        <v>323</v>
      </c>
    </row>
    <row r="8" spans="2:15" x14ac:dyDescent="0.25">
      <c r="B8" s="101"/>
      <c r="C8" s="102"/>
      <c r="D8" s="242" t="s">
        <v>156</v>
      </c>
      <c r="E8" s="242"/>
      <c r="F8" s="242"/>
      <c r="G8" s="242"/>
      <c r="H8" s="242"/>
      <c r="I8" s="242"/>
      <c r="J8" s="242"/>
      <c r="K8" s="243"/>
      <c r="O8" t="s">
        <v>324</v>
      </c>
    </row>
    <row r="9" spans="2:15" x14ac:dyDescent="0.25">
      <c r="B9" s="101"/>
      <c r="C9" s="102"/>
      <c r="D9" s="102"/>
      <c r="E9" s="102"/>
      <c r="F9" s="102"/>
      <c r="G9" s="102"/>
      <c r="H9" s="102"/>
      <c r="I9" s="102"/>
      <c r="J9" s="102"/>
      <c r="K9" s="103"/>
      <c r="O9" t="s">
        <v>397</v>
      </c>
    </row>
    <row r="10" spans="2:15" ht="15" customHeight="1" x14ac:dyDescent="0.25">
      <c r="B10" s="245" t="s">
        <v>468</v>
      </c>
      <c r="C10" s="246"/>
      <c r="D10" s="246"/>
      <c r="E10" s="246"/>
      <c r="F10" s="246"/>
      <c r="G10" s="246"/>
      <c r="H10" s="246"/>
      <c r="I10" s="247" t="s">
        <v>245</v>
      </c>
      <c r="J10" s="247"/>
      <c r="K10" s="247"/>
      <c r="O10" t="s">
        <v>431</v>
      </c>
    </row>
    <row r="11" spans="2:15" ht="15" customHeight="1" x14ac:dyDescent="0.25">
      <c r="B11" s="245" t="s">
        <v>469</v>
      </c>
      <c r="C11" s="246"/>
      <c r="D11" s="246"/>
      <c r="E11" s="246"/>
      <c r="F11" s="246"/>
      <c r="G11" s="246"/>
      <c r="H11" s="252"/>
      <c r="I11" s="248">
        <f>INDEX(town_population[Pop Share of State],MATCH(I10,town_population[Municipality]))</f>
        <v>1.3410860881476726E-4</v>
      </c>
      <c r="J11" s="249"/>
      <c r="K11" s="250"/>
      <c r="O11" t="s">
        <v>433</v>
      </c>
    </row>
    <row r="12" spans="2:15" ht="15" customHeight="1" x14ac:dyDescent="0.25">
      <c r="B12" s="204" t="s">
        <v>507</v>
      </c>
      <c r="C12" s="205"/>
      <c r="D12" s="205"/>
      <c r="E12" s="205"/>
      <c r="F12" s="205"/>
      <c r="G12" s="205"/>
      <c r="H12" s="205"/>
      <c r="I12" s="248">
        <f>INDEX(town_population[Pop Share of Region],MATCH(I10,town_population[Municipality],0))</f>
        <v>1.3023255813953488E-3</v>
      </c>
      <c r="J12" s="249"/>
      <c r="K12" s="250"/>
    </row>
    <row r="13" spans="2:15" ht="15" customHeight="1" x14ac:dyDescent="0.25">
      <c r="B13" s="262" t="s">
        <v>499</v>
      </c>
      <c r="C13" s="263"/>
      <c r="D13" s="263"/>
      <c r="E13" s="263"/>
      <c r="F13" s="263"/>
      <c r="G13" s="263"/>
      <c r="H13" s="263"/>
      <c r="I13" s="263"/>
      <c r="J13" s="263"/>
      <c r="K13" s="264"/>
    </row>
    <row r="14" spans="2:15" ht="15" customHeight="1" x14ac:dyDescent="0.25">
      <c r="B14" s="206" t="s">
        <v>513</v>
      </c>
      <c r="C14" s="207"/>
      <c r="D14" s="207"/>
      <c r="E14" s="207"/>
      <c r="F14" s="207"/>
      <c r="G14" s="207"/>
      <c r="H14" s="207"/>
      <c r="I14" s="259">
        <f>INDEX(town_establishments[share of state establishments],MATCH(I10,town_establishments[Municipality],0))</f>
        <v>0</v>
      </c>
      <c r="J14" s="260"/>
      <c r="K14" s="261"/>
    </row>
    <row r="15" spans="2:15" ht="15" customHeight="1" x14ac:dyDescent="0.25">
      <c r="B15" s="206" t="s">
        <v>514</v>
      </c>
      <c r="C15" s="207"/>
      <c r="D15" s="207"/>
      <c r="E15" s="207"/>
      <c r="F15" s="207"/>
      <c r="G15" s="207"/>
      <c r="H15" s="207"/>
      <c r="I15" s="248">
        <f>INDEX(town_establishments[share of regional establishments],MATCH(I10,town_establishments[Municipality],0))</f>
        <v>0</v>
      </c>
      <c r="J15" s="249"/>
      <c r="K15" s="250"/>
    </row>
    <row r="16" spans="2:15" ht="15" customHeight="1" x14ac:dyDescent="0.25">
      <c r="B16" s="262" t="s">
        <v>499</v>
      </c>
      <c r="C16" s="263"/>
      <c r="D16" s="263"/>
      <c r="E16" s="263"/>
      <c r="F16" s="263"/>
      <c r="G16" s="263"/>
      <c r="H16" s="263"/>
      <c r="I16" s="263"/>
      <c r="J16" s="263"/>
      <c r="K16" s="264"/>
    </row>
    <row r="17" spans="1:15" ht="15" customHeight="1" x14ac:dyDescent="0.25">
      <c r="B17" s="197"/>
      <c r="C17" s="198"/>
      <c r="D17" s="198"/>
      <c r="E17" s="198"/>
      <c r="F17" s="198"/>
      <c r="G17" s="198"/>
      <c r="H17" s="198"/>
      <c r="I17" s="191"/>
      <c r="J17" s="191"/>
      <c r="K17" s="200"/>
    </row>
    <row r="18" spans="1:15" x14ac:dyDescent="0.25">
      <c r="B18" s="197" t="s">
        <v>494</v>
      </c>
      <c r="C18" s="195"/>
      <c r="D18" s="195"/>
      <c r="E18" s="195"/>
      <c r="F18" s="195"/>
      <c r="G18" s="195"/>
      <c r="H18" s="195"/>
      <c r="I18" s="195"/>
      <c r="J18" s="195"/>
      <c r="K18" s="196"/>
    </row>
    <row r="19" spans="1:15" x14ac:dyDescent="0.25">
      <c r="B19" s="197" t="s">
        <v>500</v>
      </c>
      <c r="C19" s="195"/>
      <c r="D19" s="195"/>
      <c r="E19" s="195"/>
      <c r="F19" s="195"/>
      <c r="G19" s="195"/>
      <c r="H19" s="195"/>
      <c r="I19" s="195"/>
      <c r="J19" s="195"/>
      <c r="K19" s="196"/>
    </row>
    <row r="20" spans="1:15" ht="15" customHeight="1" x14ac:dyDescent="0.25">
      <c r="B20" s="101"/>
      <c r="C20" s="241" t="s">
        <v>157</v>
      </c>
      <c r="D20" s="241"/>
      <c r="E20" s="241"/>
      <c r="F20" s="241"/>
      <c r="G20" s="241"/>
      <c r="H20" s="241"/>
      <c r="I20" s="201" t="s">
        <v>497</v>
      </c>
      <c r="J20" s="102"/>
      <c r="K20" s="103"/>
    </row>
    <row r="21" spans="1:15" ht="15" customHeight="1" x14ac:dyDescent="0.25">
      <c r="B21" s="101"/>
      <c r="C21" s="241" t="s">
        <v>495</v>
      </c>
      <c r="D21" s="241"/>
      <c r="E21" s="241"/>
      <c r="F21" s="241"/>
      <c r="G21" s="241"/>
      <c r="H21" s="251"/>
      <c r="I21" s="202" t="s">
        <v>496</v>
      </c>
      <c r="J21" s="102"/>
      <c r="K21" s="103"/>
    </row>
    <row r="22" spans="1:15" ht="15" customHeight="1" x14ac:dyDescent="0.25">
      <c r="B22" s="101"/>
      <c r="C22" s="195"/>
      <c r="D22" s="195"/>
      <c r="E22" s="195"/>
      <c r="F22" s="195"/>
      <c r="G22" s="195"/>
      <c r="H22" s="195"/>
      <c r="I22" s="2"/>
      <c r="J22" s="102"/>
      <c r="K22" s="103"/>
    </row>
    <row r="23" spans="1:15" s="177" customFormat="1" ht="15" customHeight="1" x14ac:dyDescent="0.25">
      <c r="A23" s="199"/>
      <c r="B23" s="253" t="s">
        <v>501</v>
      </c>
      <c r="C23" s="254"/>
      <c r="D23" s="254"/>
      <c r="E23" s="254"/>
      <c r="F23" s="254"/>
      <c r="G23" s="254"/>
      <c r="H23" s="254"/>
      <c r="I23" s="254"/>
      <c r="J23" s="254"/>
      <c r="K23" s="255"/>
      <c r="O23" s="100"/>
    </row>
    <row r="24" spans="1:15" s="177" customFormat="1" x14ac:dyDescent="0.25">
      <c r="A24" s="199"/>
      <c r="B24" s="253"/>
      <c r="C24" s="254"/>
      <c r="D24" s="254"/>
      <c r="E24" s="254"/>
      <c r="F24" s="254"/>
      <c r="G24" s="254"/>
      <c r="H24" s="254"/>
      <c r="I24" s="254"/>
      <c r="J24" s="254"/>
      <c r="K24" s="255"/>
      <c r="O24" s="100"/>
    </row>
    <row r="25" spans="1:15" x14ac:dyDescent="0.25">
      <c r="B25" s="256"/>
      <c r="C25" s="257"/>
      <c r="D25" s="257"/>
      <c r="E25" s="257"/>
      <c r="F25" s="257"/>
      <c r="G25" s="257"/>
      <c r="H25" s="257"/>
      <c r="I25" s="257"/>
      <c r="J25" s="257"/>
      <c r="K25" s="258"/>
    </row>
    <row r="27" spans="1:15" x14ac:dyDescent="0.25">
      <c r="I27"/>
    </row>
  </sheetData>
  <mergeCells count="18">
    <mergeCell ref="C21:H21"/>
    <mergeCell ref="B11:H11"/>
    <mergeCell ref="B23:K25"/>
    <mergeCell ref="C5:K5"/>
    <mergeCell ref="C4:K4"/>
    <mergeCell ref="I12:K12"/>
    <mergeCell ref="I14:K14"/>
    <mergeCell ref="I15:K15"/>
    <mergeCell ref="B16:K16"/>
    <mergeCell ref="B13:K13"/>
    <mergeCell ref="B3:K3"/>
    <mergeCell ref="C20:H20"/>
    <mergeCell ref="D8:K8"/>
    <mergeCell ref="D7:K7"/>
    <mergeCell ref="D6:K6"/>
    <mergeCell ref="B10:H10"/>
    <mergeCell ref="I10:K10"/>
    <mergeCell ref="I11:K11"/>
  </mergeCells>
  <dataValidations count="1">
    <dataValidation type="list" allowBlank="1" showInputMessage="1" showErrorMessage="1" sqref="I10:K10">
      <formula1>INDIRECT("town_population[Municipality]")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68"/>
  <sheetViews>
    <sheetView topLeftCell="A22" zoomScale="70" zoomScaleNormal="70" workbookViewId="0">
      <selection activeCell="B38" sqref="B38"/>
    </sheetView>
  </sheetViews>
  <sheetFormatPr defaultRowHeight="15" x14ac:dyDescent="0.25"/>
  <cols>
    <col min="1" max="1" width="2.5703125" style="32" bestFit="1" customWidth="1"/>
    <col min="2" max="14" width="15.85546875" customWidth="1"/>
  </cols>
  <sheetData>
    <row r="2" spans="1:16" ht="18.75" x14ac:dyDescent="0.3">
      <c r="B2" s="115" t="s">
        <v>482</v>
      </c>
    </row>
    <row r="3" spans="1:16" ht="14.25" customHeight="1" x14ac:dyDescent="0.3">
      <c r="B3" s="51"/>
    </row>
    <row r="5" spans="1:16" ht="36" customHeight="1" x14ac:dyDescent="0.25">
      <c r="B5" s="122">
        <f>SUM(B26,B38)</f>
        <v>5713.3776806060605</v>
      </c>
      <c r="C5" s="269" t="s">
        <v>481</v>
      </c>
      <c r="D5" s="266"/>
      <c r="E5" s="266"/>
      <c r="F5" s="266"/>
      <c r="G5" s="266"/>
      <c r="H5" s="266"/>
      <c r="I5" s="266"/>
      <c r="J5" s="266"/>
      <c r="K5" s="266"/>
      <c r="L5" s="266"/>
      <c r="M5" s="266"/>
      <c r="N5" s="266"/>
    </row>
    <row r="7" spans="1:16" x14ac:dyDescent="0.25">
      <c r="C7" s="53" t="s">
        <v>70</v>
      </c>
    </row>
    <row r="8" spans="1:16" x14ac:dyDescent="0.25">
      <c r="C8" s="25"/>
    </row>
    <row r="9" spans="1:16" ht="36" customHeight="1" x14ac:dyDescent="0.25">
      <c r="A9" s="32">
        <v>1</v>
      </c>
      <c r="B9" s="116">
        <v>76</v>
      </c>
      <c r="C9" s="270" t="s">
        <v>483</v>
      </c>
      <c r="D9" s="266"/>
      <c r="E9" s="266"/>
      <c r="F9" s="266"/>
      <c r="G9" s="266"/>
      <c r="H9" s="266"/>
      <c r="I9" s="266"/>
      <c r="J9" s="266"/>
      <c r="K9" s="266"/>
      <c r="L9" s="266"/>
      <c r="M9" s="266"/>
      <c r="N9" s="266"/>
    </row>
    <row r="10" spans="1:16" ht="36" customHeight="1" x14ac:dyDescent="0.25">
      <c r="B10" s="21"/>
      <c r="C10" s="31"/>
      <c r="D10" s="125" t="s">
        <v>60</v>
      </c>
      <c r="E10" s="271" t="s">
        <v>64</v>
      </c>
      <c r="F10" s="271"/>
      <c r="G10" s="267" t="s">
        <v>61</v>
      </c>
      <c r="H10" s="267"/>
      <c r="I10" s="267"/>
      <c r="J10" s="267"/>
      <c r="K10" s="267"/>
      <c r="L10" s="267"/>
      <c r="M10" s="267"/>
      <c r="N10" s="267"/>
    </row>
    <row r="11" spans="1:16" ht="36" customHeight="1" x14ac:dyDescent="0.25">
      <c r="B11" s="21"/>
      <c r="C11" s="31"/>
      <c r="D11" s="125"/>
      <c r="E11" s="267" t="s">
        <v>65</v>
      </c>
      <c r="F11" s="267"/>
      <c r="G11" s="267" t="s">
        <v>170</v>
      </c>
      <c r="H11" s="267"/>
      <c r="I11" s="267"/>
      <c r="J11" s="267"/>
      <c r="K11" s="267"/>
      <c r="L11" s="267"/>
      <c r="M11" s="267"/>
      <c r="N11" s="267"/>
    </row>
    <row r="12" spans="1:16" ht="36" customHeight="1" x14ac:dyDescent="0.25">
      <c r="B12" s="21"/>
      <c r="C12" s="31"/>
      <c r="D12" s="125" t="s">
        <v>62</v>
      </c>
      <c r="E12" s="267" t="s">
        <v>63</v>
      </c>
      <c r="F12" s="267"/>
      <c r="G12" s="267"/>
      <c r="H12" s="267"/>
      <c r="I12" s="267"/>
      <c r="J12" s="267"/>
      <c r="K12" s="267"/>
      <c r="L12" s="267"/>
      <c r="M12" s="267"/>
      <c r="N12" s="267"/>
    </row>
    <row r="13" spans="1:16" ht="36" customHeight="1" x14ac:dyDescent="0.25">
      <c r="A13" s="32">
        <v>2</v>
      </c>
      <c r="B13" s="116">
        <v>14000</v>
      </c>
      <c r="C13" s="265" t="s">
        <v>484</v>
      </c>
      <c r="D13" s="266"/>
      <c r="E13" s="266"/>
      <c r="F13" s="266"/>
      <c r="G13" s="266"/>
      <c r="H13" s="266"/>
      <c r="I13" s="266"/>
      <c r="J13" s="266"/>
      <c r="K13" s="266"/>
      <c r="L13" s="266"/>
      <c r="M13" s="266"/>
      <c r="N13" s="266"/>
      <c r="O13" s="34">
        <f>B13/12500</f>
        <v>1.1200000000000001</v>
      </c>
      <c r="P13" s="184" t="s">
        <v>544</v>
      </c>
    </row>
    <row r="14" spans="1:16" ht="36" customHeight="1" x14ac:dyDescent="0.25">
      <c r="A14" s="32">
        <v>3</v>
      </c>
      <c r="B14" s="116">
        <v>22</v>
      </c>
      <c r="C14" s="265" t="s">
        <v>485</v>
      </c>
      <c r="D14" s="266"/>
      <c r="E14" s="266"/>
      <c r="F14" s="266"/>
      <c r="G14" s="266"/>
      <c r="H14" s="266"/>
      <c r="I14" s="266"/>
      <c r="J14" s="266"/>
      <c r="K14" s="266"/>
      <c r="L14" s="266"/>
      <c r="M14" s="266"/>
      <c r="N14" s="266"/>
    </row>
    <row r="15" spans="1:16" s="118" customFormat="1" ht="36" customHeight="1" x14ac:dyDescent="0.25">
      <c r="A15" s="117"/>
      <c r="D15" s="119">
        <v>0.4</v>
      </c>
      <c r="E15" s="266" t="s">
        <v>172</v>
      </c>
      <c r="F15" s="266"/>
      <c r="G15" s="266"/>
      <c r="H15" s="266"/>
      <c r="I15" s="266"/>
      <c r="J15" s="266"/>
      <c r="K15" s="266"/>
      <c r="L15" s="266"/>
      <c r="M15" s="266"/>
      <c r="N15" s="266"/>
    </row>
    <row r="16" spans="1:16" s="118" customFormat="1" ht="36" customHeight="1" x14ac:dyDescent="0.25">
      <c r="A16" s="117"/>
      <c r="D16" s="119">
        <f>150000/583770</f>
        <v>0.25695051133151753</v>
      </c>
      <c r="E16" s="266" t="s">
        <v>173</v>
      </c>
      <c r="F16" s="266"/>
      <c r="G16" s="266"/>
      <c r="H16" s="266"/>
      <c r="I16" s="266"/>
      <c r="J16" s="266"/>
      <c r="K16" s="266"/>
      <c r="L16" s="266"/>
      <c r="M16" s="266"/>
      <c r="N16" s="266"/>
    </row>
    <row r="17" spans="1:14" s="118" customFormat="1" ht="36" customHeight="1" x14ac:dyDescent="0.25">
      <c r="A17" s="117"/>
      <c r="D17" s="119">
        <v>0.86</v>
      </c>
      <c r="E17" s="266" t="s">
        <v>171</v>
      </c>
      <c r="F17" s="266"/>
      <c r="G17" s="266"/>
      <c r="H17" s="266"/>
      <c r="I17" s="266"/>
      <c r="J17" s="266"/>
      <c r="K17" s="266"/>
      <c r="L17" s="266"/>
      <c r="M17" s="266"/>
      <c r="N17" s="266"/>
    </row>
    <row r="18" spans="1:14" ht="36" customHeight="1" x14ac:dyDescent="0.25">
      <c r="B18" s="120">
        <f>B9*B13/B14</f>
        <v>48363.63636363636</v>
      </c>
      <c r="C18" s="267" t="s">
        <v>43</v>
      </c>
      <c r="D18" s="267"/>
      <c r="E18" s="267"/>
      <c r="F18" s="267"/>
      <c r="G18" s="267"/>
      <c r="H18" s="267"/>
      <c r="I18" s="267"/>
      <c r="J18" s="267"/>
      <c r="K18" s="267"/>
      <c r="L18" s="267"/>
      <c r="M18" s="267"/>
      <c r="N18" s="267"/>
    </row>
    <row r="19" spans="1:14" ht="36" customHeight="1" x14ac:dyDescent="0.25">
      <c r="A19" s="32">
        <v>4</v>
      </c>
      <c r="B19" s="121">
        <v>0.09</v>
      </c>
      <c r="C19" s="265" t="s">
        <v>486</v>
      </c>
      <c r="D19" s="266"/>
      <c r="E19" s="266"/>
      <c r="F19" s="266"/>
      <c r="G19" s="266"/>
      <c r="H19" s="266"/>
      <c r="I19" s="266"/>
      <c r="J19" s="266"/>
      <c r="K19" s="266"/>
      <c r="L19" s="266"/>
      <c r="M19" s="266"/>
      <c r="N19" s="266"/>
    </row>
    <row r="20" spans="1:14" ht="36" customHeight="1" x14ac:dyDescent="0.25">
      <c r="B20" s="120">
        <f>(1-B19)*B18</f>
        <v>44010.909090909088</v>
      </c>
      <c r="C20" s="266" t="s">
        <v>73</v>
      </c>
      <c r="D20" s="266"/>
      <c r="E20" s="266"/>
      <c r="F20" s="266"/>
      <c r="G20" s="266"/>
      <c r="H20" s="266"/>
      <c r="I20" s="266"/>
      <c r="J20" s="266"/>
      <c r="K20" s="266"/>
      <c r="L20" s="266"/>
      <c r="M20" s="266"/>
      <c r="N20" s="266"/>
    </row>
    <row r="21" spans="1:14" ht="36" customHeight="1" x14ac:dyDescent="0.25">
      <c r="B21" s="120">
        <f>fossilBtu</f>
        <v>121258.5</v>
      </c>
      <c r="C21" s="266" t="s">
        <v>174</v>
      </c>
      <c r="D21" s="266"/>
      <c r="E21" s="266"/>
      <c r="F21" s="266"/>
      <c r="G21" s="266"/>
      <c r="H21" s="266"/>
      <c r="I21" s="266"/>
      <c r="J21" s="266"/>
      <c r="K21" s="266"/>
      <c r="L21" s="266"/>
      <c r="M21" s="266"/>
      <c r="N21" s="266"/>
    </row>
    <row r="22" spans="1:14" ht="36" customHeight="1" x14ac:dyDescent="0.25">
      <c r="B22" s="120">
        <f>B20*B21/1000000</f>
        <v>5336.6968200000001</v>
      </c>
      <c r="C22" s="266" t="s">
        <v>66</v>
      </c>
      <c r="D22" s="266"/>
      <c r="E22" s="266"/>
      <c r="F22" s="266"/>
      <c r="G22" s="266"/>
      <c r="H22" s="266"/>
      <c r="I22" s="266"/>
      <c r="J22" s="266"/>
      <c r="K22" s="266"/>
      <c r="L22" s="266"/>
      <c r="M22" s="266"/>
      <c r="N22" s="266"/>
    </row>
    <row r="23" spans="1:14" ht="36" customHeight="1" x14ac:dyDescent="0.25">
      <c r="B23" s="120">
        <f>B18-B20</f>
        <v>4352.7272727272721</v>
      </c>
      <c r="C23" s="266" t="s">
        <v>67</v>
      </c>
      <c r="D23" s="266"/>
      <c r="E23" s="266"/>
      <c r="F23" s="266"/>
      <c r="G23" s="266"/>
      <c r="H23" s="266"/>
      <c r="I23" s="266"/>
      <c r="J23" s="266"/>
      <c r="K23" s="266"/>
      <c r="L23" s="266"/>
      <c r="M23" s="266"/>
      <c r="N23" s="266"/>
    </row>
    <row r="24" spans="1:14" ht="36" customHeight="1" x14ac:dyDescent="0.25">
      <c r="B24" s="120">
        <v>84710</v>
      </c>
      <c r="C24" s="266" t="s">
        <v>68</v>
      </c>
      <c r="D24" s="266"/>
      <c r="E24" s="266"/>
      <c r="F24" s="266"/>
      <c r="G24" s="266"/>
      <c r="H24" s="266"/>
      <c r="I24" s="266"/>
      <c r="J24" s="266"/>
      <c r="K24" s="266"/>
      <c r="L24" s="266"/>
      <c r="M24" s="266"/>
      <c r="N24" s="266"/>
    </row>
    <row r="25" spans="1:14" ht="36" customHeight="1" x14ac:dyDescent="0.25">
      <c r="B25" s="120">
        <f>B23*B24/1000000</f>
        <v>368.71952727272719</v>
      </c>
      <c r="C25" s="266" t="s">
        <v>69</v>
      </c>
      <c r="D25" s="266"/>
      <c r="E25" s="266"/>
      <c r="F25" s="266"/>
      <c r="G25" s="266"/>
      <c r="H25" s="266"/>
      <c r="I25" s="266"/>
      <c r="J25" s="266"/>
      <c r="K25" s="266"/>
      <c r="L25" s="266"/>
      <c r="M25" s="266"/>
      <c r="N25" s="266"/>
    </row>
    <row r="26" spans="1:14" ht="36" customHeight="1" x14ac:dyDescent="0.25">
      <c r="B26" s="122">
        <f>B22+B25</f>
        <v>5705.4163472727269</v>
      </c>
      <c r="C26" s="269" t="s">
        <v>71</v>
      </c>
      <c r="D26" s="266"/>
      <c r="E26" s="266"/>
      <c r="F26" s="266"/>
      <c r="G26" s="266"/>
      <c r="H26" s="266"/>
      <c r="I26" s="266"/>
      <c r="J26" s="266"/>
      <c r="K26" s="266"/>
      <c r="L26" s="266"/>
      <c r="M26" s="266"/>
      <c r="N26" s="266"/>
    </row>
    <row r="27" spans="1:14" x14ac:dyDescent="0.25">
      <c r="B27" s="21"/>
    </row>
    <row r="28" spans="1:14" x14ac:dyDescent="0.25">
      <c r="B28" s="21"/>
      <c r="C28" s="53" t="s">
        <v>77</v>
      </c>
    </row>
    <row r="29" spans="1:14" x14ac:dyDescent="0.25">
      <c r="B29" s="21"/>
      <c r="C29" s="53"/>
    </row>
    <row r="30" spans="1:14" x14ac:dyDescent="0.25">
      <c r="B30" s="21" t="s">
        <v>76</v>
      </c>
      <c r="C30" s="25"/>
    </row>
    <row r="31" spans="1:14" x14ac:dyDescent="0.25">
      <c r="B31" s="21"/>
      <c r="C31" s="25"/>
    </row>
    <row r="32" spans="1:14" ht="36" customHeight="1" x14ac:dyDescent="0.25">
      <c r="A32" s="32">
        <v>1</v>
      </c>
      <c r="B32" s="124">
        <v>1</v>
      </c>
      <c r="C32" s="265" t="s">
        <v>502</v>
      </c>
      <c r="D32" s="266"/>
      <c r="E32" s="266"/>
      <c r="F32" s="266"/>
      <c r="G32" s="266"/>
      <c r="H32" s="266"/>
      <c r="I32" s="266"/>
      <c r="J32" s="266"/>
      <c r="K32" s="266"/>
      <c r="L32" s="266"/>
      <c r="M32" s="266"/>
      <c r="N32" s="58"/>
    </row>
    <row r="33" spans="2:14" ht="36" customHeight="1" x14ac:dyDescent="0.25">
      <c r="B33" s="58"/>
      <c r="C33" s="58"/>
      <c r="D33" s="125" t="s">
        <v>60</v>
      </c>
      <c r="E33" s="123" t="s">
        <v>175</v>
      </c>
      <c r="F33" s="58"/>
      <c r="G33" s="58"/>
      <c r="H33" s="58"/>
      <c r="I33" s="58"/>
      <c r="J33" s="58"/>
      <c r="K33" s="58"/>
      <c r="L33" s="58"/>
      <c r="M33" s="58"/>
      <c r="N33" s="58"/>
    </row>
    <row r="34" spans="2:14" ht="36" customHeight="1" x14ac:dyDescent="0.25">
      <c r="B34" s="120">
        <v>7000</v>
      </c>
      <c r="C34" s="267" t="s">
        <v>78</v>
      </c>
      <c r="D34" s="267"/>
      <c r="E34" s="267"/>
      <c r="F34" s="267"/>
      <c r="G34" s="267"/>
      <c r="H34" s="267"/>
      <c r="I34" s="267"/>
      <c r="J34" s="267"/>
      <c r="K34" s="267"/>
      <c r="L34" s="267"/>
      <c r="M34" s="267"/>
      <c r="N34" s="267"/>
    </row>
    <row r="35" spans="2:14" ht="36" customHeight="1" x14ac:dyDescent="0.25">
      <c r="B35" s="120">
        <v>3</v>
      </c>
      <c r="C35" s="267" t="s">
        <v>74</v>
      </c>
      <c r="D35" s="267"/>
      <c r="E35" s="267"/>
      <c r="F35" s="267"/>
      <c r="G35" s="267"/>
      <c r="H35" s="267"/>
      <c r="I35" s="267"/>
      <c r="J35" s="267"/>
      <c r="K35" s="267"/>
      <c r="L35" s="267"/>
      <c r="M35" s="267"/>
      <c r="N35" s="267"/>
    </row>
    <row r="36" spans="2:14" ht="36" customHeight="1" x14ac:dyDescent="0.25">
      <c r="B36" s="120">
        <f>B32*B34/B35</f>
        <v>2333.3333333333335</v>
      </c>
      <c r="C36" s="267" t="s">
        <v>72</v>
      </c>
      <c r="D36" s="267"/>
      <c r="E36" s="267"/>
      <c r="F36" s="267"/>
      <c r="G36" s="267"/>
      <c r="H36" s="267"/>
      <c r="I36" s="267"/>
      <c r="J36" s="267"/>
      <c r="K36" s="267"/>
      <c r="L36" s="267"/>
      <c r="M36" s="267"/>
      <c r="N36" s="267"/>
    </row>
    <row r="37" spans="2:14" ht="36" customHeight="1" x14ac:dyDescent="0.25">
      <c r="B37" s="120">
        <v>3412</v>
      </c>
      <c r="C37" s="267" t="s">
        <v>176</v>
      </c>
      <c r="D37" s="267"/>
      <c r="E37" s="267"/>
      <c r="F37" s="267"/>
      <c r="G37" s="267"/>
      <c r="H37" s="267"/>
      <c r="I37" s="267"/>
      <c r="J37" s="267"/>
      <c r="K37" s="267"/>
      <c r="L37" s="267"/>
      <c r="M37" s="267"/>
      <c r="N37" s="267"/>
    </row>
    <row r="38" spans="2:14" ht="36" customHeight="1" x14ac:dyDescent="0.25">
      <c r="B38" s="122">
        <f>B36*B37/1000000</f>
        <v>7.961333333333334</v>
      </c>
      <c r="C38" s="268" t="s">
        <v>75</v>
      </c>
      <c r="D38" s="267"/>
      <c r="E38" s="267"/>
      <c r="F38" s="267"/>
      <c r="G38" s="267"/>
      <c r="H38" s="267"/>
      <c r="I38" s="267"/>
      <c r="J38" s="267"/>
      <c r="K38" s="267"/>
      <c r="L38" s="267"/>
      <c r="M38" s="267"/>
      <c r="N38" s="267"/>
    </row>
    <row r="39" spans="2:14" x14ac:dyDescent="0.25">
      <c r="B39" s="21"/>
    </row>
    <row r="41" spans="2:14" x14ac:dyDescent="0.25">
      <c r="C41" s="25"/>
    </row>
    <row r="43" spans="2:14" x14ac:dyDescent="0.25">
      <c r="B43" s="21"/>
    </row>
    <row r="48" spans="2:14" x14ac:dyDescent="0.25">
      <c r="B48" s="21"/>
    </row>
    <row r="50" spans="2:2" x14ac:dyDescent="0.25">
      <c r="B50" s="21"/>
    </row>
    <row r="52" spans="2:2" x14ac:dyDescent="0.25">
      <c r="B52" s="23"/>
    </row>
    <row r="53" spans="2:2" x14ac:dyDescent="0.25">
      <c r="B53" s="23"/>
    </row>
    <row r="54" spans="2:2" x14ac:dyDescent="0.25">
      <c r="B54" s="23"/>
    </row>
    <row r="68" spans="2:2" x14ac:dyDescent="0.25">
      <c r="B68" s="21"/>
    </row>
  </sheetData>
  <mergeCells count="27">
    <mergeCell ref="C5:N5"/>
    <mergeCell ref="C18:N18"/>
    <mergeCell ref="C9:N9"/>
    <mergeCell ref="E10:F10"/>
    <mergeCell ref="E11:F11"/>
    <mergeCell ref="G11:N11"/>
    <mergeCell ref="G10:N10"/>
    <mergeCell ref="E12:N12"/>
    <mergeCell ref="C13:N13"/>
    <mergeCell ref="C14:N14"/>
    <mergeCell ref="E16:N16"/>
    <mergeCell ref="E17:N17"/>
    <mergeCell ref="E15:N15"/>
    <mergeCell ref="C19:N19"/>
    <mergeCell ref="C26:N26"/>
    <mergeCell ref="C25:N25"/>
    <mergeCell ref="C24:N24"/>
    <mergeCell ref="C23:N23"/>
    <mergeCell ref="C22:N22"/>
    <mergeCell ref="C21:N21"/>
    <mergeCell ref="C20:N20"/>
    <mergeCell ref="C32:M32"/>
    <mergeCell ref="C34:N34"/>
    <mergeCell ref="C38:N38"/>
    <mergeCell ref="C37:N37"/>
    <mergeCell ref="C36:N36"/>
    <mergeCell ref="C35:N35"/>
  </mergeCells>
  <hyperlinks>
    <hyperlink ref="E10" r:id="rId1" display="Census data"/>
    <hyperlink ref="E33" r:id="rId2"/>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2"/>
  <sheetViews>
    <sheetView zoomScale="70" zoomScaleNormal="70" workbookViewId="0">
      <selection activeCell="B24" sqref="B24"/>
    </sheetView>
  </sheetViews>
  <sheetFormatPr defaultRowHeight="15" x14ac:dyDescent="0.25"/>
  <cols>
    <col min="1" max="1" width="2.5703125" style="54" bestFit="1" customWidth="1"/>
    <col min="2" max="14" width="14.5703125" customWidth="1"/>
  </cols>
  <sheetData>
    <row r="1" spans="1:15" ht="21" x14ac:dyDescent="0.35">
      <c r="A1" s="56"/>
      <c r="B1" s="52" t="s">
        <v>487</v>
      </c>
    </row>
    <row r="2" spans="1:15" x14ac:dyDescent="0.25">
      <c r="A2" s="56"/>
      <c r="B2" s="53"/>
    </row>
    <row r="3" spans="1:15" x14ac:dyDescent="0.25">
      <c r="A3" s="56"/>
    </row>
    <row r="4" spans="1:15" ht="42.75" customHeight="1" x14ac:dyDescent="0.25">
      <c r="A4" s="56"/>
      <c r="B4" s="55" t="e">
        <f ca="1">SUM(B18,B43)</f>
        <v>#DIV/0!</v>
      </c>
      <c r="C4" s="269" t="s">
        <v>91</v>
      </c>
      <c r="D4" s="266"/>
      <c r="E4" s="266"/>
      <c r="F4" s="266"/>
      <c r="G4" s="266"/>
      <c r="H4" s="266"/>
      <c r="I4" s="266"/>
      <c r="J4" s="266"/>
      <c r="K4" s="266"/>
      <c r="L4" s="266"/>
      <c r="M4" s="266"/>
      <c r="N4" s="266"/>
    </row>
    <row r="5" spans="1:15" x14ac:dyDescent="0.25">
      <c r="A5" s="56"/>
      <c r="B5" s="54"/>
    </row>
    <row r="6" spans="1:15" ht="18.75" x14ac:dyDescent="0.3">
      <c r="B6" s="54"/>
      <c r="C6" s="51" t="s">
        <v>80</v>
      </c>
    </row>
    <row r="7" spans="1:15" x14ac:dyDescent="0.25">
      <c r="B7" s="54"/>
      <c r="C7" s="25"/>
    </row>
    <row r="8" spans="1:15" ht="42.75" customHeight="1" x14ac:dyDescent="0.25">
      <c r="A8" s="54">
        <v>1</v>
      </c>
      <c r="B8" s="36">
        <v>36</v>
      </c>
      <c r="C8" s="277" t="s">
        <v>79</v>
      </c>
      <c r="D8" s="267"/>
      <c r="E8" s="267"/>
      <c r="F8" s="267"/>
      <c r="G8" s="267"/>
      <c r="H8" s="267"/>
      <c r="I8" s="267"/>
      <c r="J8" s="267"/>
      <c r="K8" s="267"/>
      <c r="L8" s="267"/>
      <c r="M8" s="267"/>
      <c r="N8" s="267"/>
    </row>
    <row r="9" spans="1:15" ht="42.75" customHeight="1" x14ac:dyDescent="0.25">
      <c r="B9" s="56"/>
      <c r="C9" s="26"/>
      <c r="D9" s="57" t="s">
        <v>92</v>
      </c>
      <c r="E9" s="276" t="s">
        <v>64</v>
      </c>
      <c r="F9" s="276"/>
      <c r="G9" s="267" t="s">
        <v>81</v>
      </c>
      <c r="H9" s="267"/>
      <c r="I9" s="267"/>
      <c r="J9" s="267"/>
      <c r="K9" s="267"/>
      <c r="L9" s="267"/>
      <c r="M9" s="267"/>
      <c r="N9" s="267"/>
    </row>
    <row r="10" spans="1:15" ht="52.5" customHeight="1" x14ac:dyDescent="0.25">
      <c r="A10" s="54">
        <v>2</v>
      </c>
      <c r="B10" s="36">
        <v>124.15</v>
      </c>
      <c r="C10" s="273" t="s">
        <v>543</v>
      </c>
      <c r="D10" s="272"/>
      <c r="E10" s="272"/>
      <c r="F10" s="272"/>
      <c r="G10" s="272"/>
      <c r="H10" s="272"/>
      <c r="I10" s="272"/>
      <c r="J10" s="272"/>
      <c r="K10" s="272"/>
      <c r="L10" s="272"/>
      <c r="M10" s="272"/>
      <c r="N10" s="272"/>
      <c r="O10" s="212">
        <f>SUM('2.Heat Targets'!E58,'2.Heat Targets'!E61,'2.Heat Targets'!E64,'2.Heat Targets'!E67)</f>
        <v>0.72059000493962366</v>
      </c>
    </row>
    <row r="11" spans="1:15" ht="42.75" customHeight="1" x14ac:dyDescent="0.25">
      <c r="B11" s="54"/>
      <c r="C11" s="59"/>
      <c r="D11" s="33" t="s">
        <v>58</v>
      </c>
      <c r="E11" s="272" t="s">
        <v>86</v>
      </c>
      <c r="F11" s="272"/>
      <c r="G11" s="272"/>
      <c r="H11" s="272"/>
      <c r="I11" s="272"/>
      <c r="J11" s="272"/>
      <c r="K11" s="272"/>
      <c r="L11" s="272"/>
      <c r="M11" s="272"/>
      <c r="N11" s="272"/>
    </row>
    <row r="12" spans="1:15" ht="42.75" customHeight="1" x14ac:dyDescent="0.25">
      <c r="B12" s="56"/>
      <c r="C12" s="60"/>
      <c r="D12" s="34">
        <v>0.26</v>
      </c>
      <c r="E12" s="272" t="s">
        <v>83</v>
      </c>
      <c r="F12" s="272"/>
      <c r="G12" s="272"/>
      <c r="H12" s="272"/>
      <c r="I12" s="272"/>
      <c r="J12" s="272"/>
      <c r="K12" s="272"/>
      <c r="L12" s="272"/>
      <c r="M12" s="272"/>
      <c r="N12" s="272"/>
    </row>
    <row r="13" spans="1:15" ht="42.75" customHeight="1" x14ac:dyDescent="0.25">
      <c r="B13" s="56"/>
      <c r="C13" s="60"/>
      <c r="D13" s="34">
        <v>0.5</v>
      </c>
      <c r="E13" s="272" t="s">
        <v>84</v>
      </c>
      <c r="F13" s="272"/>
      <c r="G13" s="272"/>
      <c r="H13" s="272"/>
      <c r="I13" s="272"/>
      <c r="J13" s="272"/>
      <c r="K13" s="272"/>
      <c r="L13" s="272"/>
      <c r="M13" s="272"/>
      <c r="N13" s="272"/>
    </row>
    <row r="14" spans="1:15" ht="42.75" customHeight="1" x14ac:dyDescent="0.25">
      <c r="B14" s="56"/>
      <c r="C14" s="60"/>
      <c r="D14" s="34">
        <v>0.2</v>
      </c>
      <c r="E14" s="272" t="s">
        <v>85</v>
      </c>
      <c r="F14" s="272"/>
      <c r="G14" s="272"/>
      <c r="H14" s="272"/>
      <c r="I14" s="272"/>
      <c r="J14" s="272"/>
      <c r="K14" s="272"/>
      <c r="L14" s="272"/>
      <c r="M14" s="272"/>
      <c r="N14" s="272"/>
    </row>
    <row r="15" spans="1:15" ht="42.75" customHeight="1" x14ac:dyDescent="0.25">
      <c r="B15" s="56"/>
      <c r="C15" s="60"/>
      <c r="D15" s="35">
        <v>2.2999999999999998</v>
      </c>
      <c r="E15" s="272" t="s">
        <v>87</v>
      </c>
      <c r="F15" s="272"/>
      <c r="G15" s="272"/>
      <c r="H15" s="272"/>
      <c r="I15" s="272"/>
      <c r="J15" s="272"/>
      <c r="K15" s="272"/>
      <c r="L15" s="272"/>
      <c r="M15" s="272"/>
      <c r="N15" s="272"/>
    </row>
    <row r="16" spans="1:15" ht="42.75" customHeight="1" x14ac:dyDescent="0.25">
      <c r="B16" s="56"/>
      <c r="C16" s="60"/>
      <c r="D16" s="34">
        <f>(20000*1.25)/257000</f>
        <v>9.727626459143969E-2</v>
      </c>
      <c r="E16" s="272" t="s">
        <v>93</v>
      </c>
      <c r="F16" s="272"/>
      <c r="G16" s="272"/>
      <c r="H16" s="272"/>
      <c r="I16" s="272"/>
      <c r="J16" s="272"/>
      <c r="K16" s="272"/>
      <c r="L16" s="272"/>
      <c r="M16" s="272"/>
      <c r="N16" s="272"/>
    </row>
    <row r="17" spans="1:17" x14ac:dyDescent="0.25">
      <c r="B17" s="56"/>
      <c r="C17" s="27"/>
      <c r="F17" s="26"/>
      <c r="G17" s="27"/>
      <c r="H17" s="27"/>
      <c r="I17" s="27"/>
      <c r="J17" s="27"/>
      <c r="K17" s="27"/>
      <c r="L17" s="27"/>
    </row>
    <row r="18" spans="1:17" ht="42.75" customHeight="1" x14ac:dyDescent="0.25">
      <c r="B18" s="55">
        <f>B8*B10</f>
        <v>4469.4000000000005</v>
      </c>
      <c r="C18" s="268" t="s">
        <v>90</v>
      </c>
      <c r="D18" s="267"/>
      <c r="E18" s="267"/>
      <c r="F18" s="267"/>
      <c r="G18" s="267"/>
      <c r="H18" s="267"/>
      <c r="I18" s="267"/>
      <c r="J18" s="267"/>
      <c r="K18" s="267"/>
      <c r="L18" s="267"/>
      <c r="M18" s="267"/>
      <c r="N18" s="267"/>
    </row>
    <row r="19" spans="1:17" x14ac:dyDescent="0.25">
      <c r="B19" s="56"/>
      <c r="C19" s="26"/>
      <c r="D19" s="26"/>
      <c r="E19" s="26"/>
      <c r="F19" s="26"/>
      <c r="G19" s="26"/>
      <c r="H19" s="26"/>
    </row>
    <row r="20" spans="1:17" ht="18.75" x14ac:dyDescent="0.3">
      <c r="B20" s="54"/>
      <c r="C20" s="51" t="s">
        <v>82</v>
      </c>
    </row>
    <row r="21" spans="1:17" ht="15.75" x14ac:dyDescent="0.25">
      <c r="B21" s="54"/>
      <c r="C21" s="61"/>
    </row>
    <row r="22" spans="1:17" ht="32.25" customHeight="1" x14ac:dyDescent="0.25">
      <c r="A22" s="54">
        <v>1</v>
      </c>
      <c r="B22" s="129">
        <f ca="1">K41</f>
        <v>0</v>
      </c>
      <c r="C22" s="270" t="s">
        <v>540</v>
      </c>
      <c r="D22" s="266"/>
      <c r="E22" s="266"/>
      <c r="F22" s="266"/>
      <c r="G22" s="266"/>
      <c r="H22" s="266"/>
      <c r="I22" s="266"/>
      <c r="J22" s="266"/>
      <c r="K22" s="266"/>
      <c r="L22" s="266"/>
      <c r="M22" s="266"/>
      <c r="N22" s="266"/>
    </row>
    <row r="23" spans="1:17" s="58" customFormat="1" ht="32.25" customHeight="1" x14ac:dyDescent="0.25">
      <c r="A23" s="54"/>
      <c r="B23" s="54"/>
      <c r="D23" s="58" t="s">
        <v>60</v>
      </c>
      <c r="E23" s="28" t="s">
        <v>88</v>
      </c>
      <c r="G23" s="58" t="s">
        <v>89</v>
      </c>
    </row>
    <row r="24" spans="1:17" ht="78" customHeight="1" x14ac:dyDescent="0.25">
      <c r="A24" s="54">
        <v>2</v>
      </c>
      <c r="B24" s="36" t="e">
        <f ca="1">L41</f>
        <v>#DIV/0!</v>
      </c>
      <c r="C24" s="274" t="s">
        <v>541</v>
      </c>
      <c r="D24" s="275"/>
      <c r="E24" s="275"/>
      <c r="F24" s="275"/>
      <c r="G24" s="275"/>
      <c r="H24" s="275"/>
      <c r="I24" s="275"/>
      <c r="J24" s="275"/>
      <c r="K24" s="275"/>
      <c r="L24" s="275"/>
      <c r="M24" s="275"/>
      <c r="N24" s="275"/>
      <c r="O24" s="212" t="e">
        <f ca="1">SUM('2.Heat Targets'!E76,'2.Heat Targets'!E79,'2.Heat Targets'!E82,'2.Heat Targets'!E85)</f>
        <v>#DIV/0!</v>
      </c>
    </row>
    <row r="25" spans="1:17" x14ac:dyDescent="0.25">
      <c r="B25" s="54"/>
    </row>
    <row r="26" spans="1:17" ht="54" customHeight="1" x14ac:dyDescent="0.25">
      <c r="B26" s="54"/>
      <c r="D26" s="37" t="s">
        <v>59</v>
      </c>
      <c r="E26" s="49" t="s">
        <v>95</v>
      </c>
      <c r="F26" s="49" t="s">
        <v>471</v>
      </c>
      <c r="G26" s="49" t="s">
        <v>94</v>
      </c>
      <c r="H26" s="49" t="s">
        <v>532</v>
      </c>
      <c r="I26" s="49" t="s">
        <v>533</v>
      </c>
      <c r="J26" s="49" t="s">
        <v>534</v>
      </c>
      <c r="K26" s="49" t="s">
        <v>535</v>
      </c>
      <c r="L26" s="50" t="s">
        <v>536</v>
      </c>
      <c r="N26" s="209"/>
    </row>
    <row r="27" spans="1:17" ht="47.25" customHeight="1" x14ac:dyDescent="0.25">
      <c r="B27" s="54"/>
      <c r="C27">
        <v>1</v>
      </c>
      <c r="D27" s="46" t="s">
        <v>46</v>
      </c>
      <c r="E27" s="38">
        <v>1418</v>
      </c>
      <c r="F27" s="192">
        <f>E27/$E$41</f>
        <v>7.6166944190793368E-2</v>
      </c>
      <c r="G27" s="38">
        <v>9210</v>
      </c>
      <c r="H27" s="38">
        <f t="shared" ref="H27:H40" si="0">G27/E27</f>
        <v>6.4950634696755998</v>
      </c>
      <c r="I27" s="38">
        <f>H27/SUM($H$27:$H$40)*$I$41</f>
        <v>506702.40423687408</v>
      </c>
      <c r="J27" s="38">
        <f>I27/E27</f>
        <v>357.33596913742883</v>
      </c>
      <c r="K27" s="38">
        <f ca="1">INDEX(OFFSET(town_establishments[42. Wholesale trade],,C27-$C$27),MATCH(selected_town,town_establishments[Municipality],0),)</f>
        <v>0</v>
      </c>
      <c r="L27" s="39" t="e">
        <f t="shared" ref="L27:L40" ca="1" si="1">IF(K27="","",K27/$K$41)</f>
        <v>#DIV/0!</v>
      </c>
      <c r="Q27" s="23"/>
    </row>
    <row r="28" spans="1:17" ht="47.25" customHeight="1" x14ac:dyDescent="0.25">
      <c r="B28" s="54"/>
      <c r="C28">
        <v>2</v>
      </c>
      <c r="D28" s="47" t="s">
        <v>47</v>
      </c>
      <c r="E28" s="40">
        <v>3134</v>
      </c>
      <c r="F28" s="193">
        <f t="shared" ref="F28:F40" si="2">E28/$E$41</f>
        <v>0.1683407638180158</v>
      </c>
      <c r="G28" s="40">
        <v>37178</v>
      </c>
      <c r="H28" s="40">
        <f t="shared" si="0"/>
        <v>11.862795149968091</v>
      </c>
      <c r="I28" s="40">
        <f t="shared" ref="I28:I40" si="3">H28/SUM($H$27:$H$40)*$I$41</f>
        <v>925457.74980064656</v>
      </c>
      <c r="J28" s="40">
        <f t="shared" ref="J28:J40" si="4">I28/E28</f>
        <v>295.29602737736008</v>
      </c>
      <c r="K28" s="40">
        <f ca="1">INDEX(OFFSET(town_establishments[42. Wholesale trade],,C28-$C$27),MATCH(selected_town,town_establishments[Municipality],0),)</f>
        <v>0</v>
      </c>
      <c r="L28" s="41" t="e">
        <f t="shared" ca="1" si="1"/>
        <v>#DIV/0!</v>
      </c>
      <c r="Q28" s="23"/>
    </row>
    <row r="29" spans="1:17" ht="47.25" customHeight="1" x14ac:dyDescent="0.25">
      <c r="B29" s="54"/>
      <c r="C29">
        <v>3</v>
      </c>
      <c r="D29" s="47" t="s">
        <v>48</v>
      </c>
      <c r="E29" s="40">
        <v>549</v>
      </c>
      <c r="F29" s="193">
        <f t="shared" si="2"/>
        <v>2.9489176559058923E-2</v>
      </c>
      <c r="G29" s="40">
        <v>6436</v>
      </c>
      <c r="H29" s="40">
        <f t="shared" si="0"/>
        <v>11.723132969034609</v>
      </c>
      <c r="I29" s="40">
        <f t="shared" si="3"/>
        <v>914562.21918876551</v>
      </c>
      <c r="J29" s="40">
        <f t="shared" si="4"/>
        <v>1665.8692517099553</v>
      </c>
      <c r="K29" s="40">
        <f ca="1">INDEX(OFFSET(town_establishments[42. Wholesale trade],,C29-$C$27),MATCH(selected_town,town_establishments[Municipality],0),)</f>
        <v>0</v>
      </c>
      <c r="L29" s="41" t="e">
        <f t="shared" ca="1" si="1"/>
        <v>#DIV/0!</v>
      </c>
      <c r="Q29" s="23"/>
    </row>
    <row r="30" spans="1:17" ht="47.25" customHeight="1" x14ac:dyDescent="0.25">
      <c r="B30" s="54"/>
      <c r="C30">
        <v>4</v>
      </c>
      <c r="D30" s="47" t="s">
        <v>44</v>
      </c>
      <c r="E30" s="40">
        <v>483</v>
      </c>
      <c r="F30" s="193">
        <f t="shared" si="2"/>
        <v>2.5944029650319601E-2</v>
      </c>
      <c r="G30" s="40">
        <v>4689</v>
      </c>
      <c r="H30" s="40">
        <f t="shared" si="0"/>
        <v>9.70807453416149</v>
      </c>
      <c r="I30" s="40">
        <f t="shared" si="3"/>
        <v>757360.52925993747</v>
      </c>
      <c r="J30" s="40">
        <f t="shared" si="4"/>
        <v>1568.0342220702639</v>
      </c>
      <c r="K30" s="40">
        <f ca="1">INDEX(OFFSET(town_establishments[42. Wholesale trade],,C30-$C$27),MATCH(selected_town,town_establishments[Municipality],0),)</f>
        <v>0</v>
      </c>
      <c r="L30" s="41" t="e">
        <f t="shared" ca="1" si="1"/>
        <v>#DIV/0!</v>
      </c>
      <c r="Q30" s="23"/>
    </row>
    <row r="31" spans="1:17" ht="47.25" customHeight="1" x14ac:dyDescent="0.25">
      <c r="B31" s="54"/>
      <c r="C31">
        <v>5</v>
      </c>
      <c r="D31" s="48" t="s">
        <v>49</v>
      </c>
      <c r="E31" s="40">
        <v>944</v>
      </c>
      <c r="F31" s="193">
        <f t="shared" si="2"/>
        <v>5.0706343664392757E-2</v>
      </c>
      <c r="G31" s="40">
        <v>8692</v>
      </c>
      <c r="H31" s="40">
        <f t="shared" si="0"/>
        <v>9.2076271186440675</v>
      </c>
      <c r="I31" s="40">
        <f t="shared" si="3"/>
        <v>718318.89251216396</v>
      </c>
      <c r="J31" s="40">
        <f t="shared" si="4"/>
        <v>760.93103020356352</v>
      </c>
      <c r="K31" s="40">
        <f ca="1">INDEX(OFFSET(town_establishments[42. Wholesale trade],,C31-$C$27),MATCH(selected_town,town_establishments[Municipality],0),)</f>
        <v>0</v>
      </c>
      <c r="L31" s="41" t="e">
        <f t="shared" ca="1" si="1"/>
        <v>#DIV/0!</v>
      </c>
      <c r="Q31" s="23"/>
    </row>
    <row r="32" spans="1:17" ht="47.25" customHeight="1" x14ac:dyDescent="0.25">
      <c r="B32" s="54"/>
      <c r="C32">
        <v>6</v>
      </c>
      <c r="D32" s="47" t="s">
        <v>50</v>
      </c>
      <c r="E32" s="40">
        <v>716</v>
      </c>
      <c r="F32" s="193">
        <f t="shared" si="2"/>
        <v>3.8459472525111456E-2</v>
      </c>
      <c r="G32" s="40">
        <v>2837</v>
      </c>
      <c r="H32" s="40">
        <f t="shared" si="0"/>
        <v>3.9622905027932962</v>
      </c>
      <c r="I32" s="40">
        <f t="shared" si="3"/>
        <v>309112.00997864484</v>
      </c>
      <c r="J32" s="40">
        <f t="shared" si="4"/>
        <v>431.72068432771624</v>
      </c>
      <c r="K32" s="40">
        <f ca="1">INDEX(OFFSET(town_establishments[42. Wholesale trade],,C32-$C$27),MATCH(selected_town,town_establishments[Municipality],0),)</f>
        <v>0</v>
      </c>
      <c r="L32" s="41" t="e">
        <f t="shared" ca="1" si="1"/>
        <v>#DIV/0!</v>
      </c>
      <c r="Q32" s="23"/>
    </row>
    <row r="33" spans="2:19" ht="47.25" customHeight="1" x14ac:dyDescent="0.25">
      <c r="B33" s="54"/>
      <c r="C33">
        <v>7</v>
      </c>
      <c r="D33" s="48" t="s">
        <v>51</v>
      </c>
      <c r="E33" s="40">
        <v>3170</v>
      </c>
      <c r="F33" s="193">
        <f t="shared" si="2"/>
        <v>0.1702744803136918</v>
      </c>
      <c r="G33" s="40">
        <v>14050</v>
      </c>
      <c r="H33" s="40">
        <f t="shared" si="0"/>
        <v>4.4321766561514195</v>
      </c>
      <c r="I33" s="40">
        <f t="shared" si="3"/>
        <v>345769.45678201987</v>
      </c>
      <c r="J33" s="40">
        <f t="shared" si="4"/>
        <v>109.07553841704097</v>
      </c>
      <c r="K33" s="40">
        <f ca="1">INDEX(OFFSET(town_establishments[42. Wholesale trade],,C33-$C$27),MATCH(selected_town,town_establishments[Municipality],0),)</f>
        <v>0</v>
      </c>
      <c r="L33" s="41" t="e">
        <f t="shared" ca="1" si="1"/>
        <v>#DIV/0!</v>
      </c>
      <c r="Q33" s="23"/>
    </row>
    <row r="34" spans="2:19" ht="47.25" customHeight="1" x14ac:dyDescent="0.25">
      <c r="B34" s="54"/>
      <c r="C34">
        <v>8</v>
      </c>
      <c r="D34" s="48" t="s">
        <v>52</v>
      </c>
      <c r="E34" s="40">
        <v>112</v>
      </c>
      <c r="F34" s="193">
        <f t="shared" si="2"/>
        <v>6.016006875436429E-3</v>
      </c>
      <c r="G34" s="40">
        <v>2213</v>
      </c>
      <c r="H34" s="40">
        <f t="shared" si="0"/>
        <v>19.758928571428573</v>
      </c>
      <c r="I34" s="40">
        <f t="shared" si="3"/>
        <v>1541462.4751600111</v>
      </c>
      <c r="J34" s="40">
        <f t="shared" si="4"/>
        <v>13763.05781392867</v>
      </c>
      <c r="K34" s="40">
        <f ca="1">INDEX(OFFSET(town_establishments[42. Wholesale trade],,C34-$C$27),MATCH(selected_town,town_establishments[Municipality],0),)</f>
        <v>0</v>
      </c>
      <c r="L34" s="41" t="e">
        <f t="shared" ca="1" si="1"/>
        <v>#DIV/0!</v>
      </c>
      <c r="Q34" s="23"/>
    </row>
    <row r="35" spans="2:19" ht="47.25" customHeight="1" x14ac:dyDescent="0.25">
      <c r="B35" s="54"/>
      <c r="C35">
        <v>9</v>
      </c>
      <c r="D35" s="48" t="s">
        <v>53</v>
      </c>
      <c r="E35" s="40">
        <v>1580</v>
      </c>
      <c r="F35" s="193">
        <f t="shared" si="2"/>
        <v>8.4868668421335336E-2</v>
      </c>
      <c r="G35" s="40">
        <v>9665</v>
      </c>
      <c r="H35" s="40">
        <f t="shared" si="0"/>
        <v>6.1170886075949369</v>
      </c>
      <c r="I35" s="40">
        <f t="shared" si="3"/>
        <v>477215.27570432739</v>
      </c>
      <c r="J35" s="40">
        <f t="shared" si="4"/>
        <v>302.034984622992</v>
      </c>
      <c r="K35" s="40">
        <f ca="1">INDEX(OFFSET(town_establishments[42. Wholesale trade],,C35-$C$27),MATCH(selected_town,town_establishments[Municipality],0),)</f>
        <v>0</v>
      </c>
      <c r="L35" s="41" t="e">
        <f t="shared" ca="1" si="1"/>
        <v>#DIV/0!</v>
      </c>
      <c r="Q35" s="23"/>
    </row>
    <row r="36" spans="2:19" ht="47.25" customHeight="1" x14ac:dyDescent="0.25">
      <c r="B36" s="54"/>
      <c r="C36">
        <v>10</v>
      </c>
      <c r="D36" s="47" t="s">
        <v>54</v>
      </c>
      <c r="E36" s="40">
        <v>422</v>
      </c>
      <c r="F36" s="193">
        <f t="shared" si="2"/>
        <v>2.2667454477090832E-2</v>
      </c>
      <c r="G36" s="40">
        <v>10349</v>
      </c>
      <c r="H36" s="40">
        <f t="shared" si="0"/>
        <v>24.523696682464454</v>
      </c>
      <c r="I36" s="40">
        <f t="shared" si="3"/>
        <v>1913178.5436426576</v>
      </c>
      <c r="J36" s="40">
        <f t="shared" si="4"/>
        <v>4533.5984446508473</v>
      </c>
      <c r="K36" s="40">
        <f ca="1">INDEX(OFFSET(town_establishments[42. Wholesale trade],,C36-$C$27),MATCH(selected_town,town_establishments[Municipality],0),)</f>
        <v>0</v>
      </c>
      <c r="L36" s="41" t="e">
        <f t="shared" ca="1" si="1"/>
        <v>#DIV/0!</v>
      </c>
      <c r="Q36" s="23"/>
    </row>
    <row r="37" spans="2:19" ht="47.25" customHeight="1" x14ac:dyDescent="0.25">
      <c r="B37" s="54"/>
      <c r="C37">
        <v>11</v>
      </c>
      <c r="D37" s="48" t="s">
        <v>55</v>
      </c>
      <c r="E37" s="40">
        <v>1888</v>
      </c>
      <c r="F37" s="193">
        <f t="shared" si="2"/>
        <v>0.10141268732878551</v>
      </c>
      <c r="G37" s="40">
        <v>49518</v>
      </c>
      <c r="H37" s="40">
        <f t="shared" si="0"/>
        <v>26.227754237288135</v>
      </c>
      <c r="I37" s="40">
        <f t="shared" si="3"/>
        <v>2046117.9774170117</v>
      </c>
      <c r="J37" s="40">
        <f t="shared" si="4"/>
        <v>1083.7489287166375</v>
      </c>
      <c r="K37" s="40">
        <f ca="1">INDEX(OFFSET(town_establishments[42. Wholesale trade],,C37-$C$27),MATCH(selected_town,town_establishments[Municipality],0),)</f>
        <v>0</v>
      </c>
      <c r="L37" s="41" t="e">
        <f t="shared" ca="1" si="1"/>
        <v>#DIV/0!</v>
      </c>
      <c r="Q37" s="23"/>
    </row>
    <row r="38" spans="2:19" ht="47.25" customHeight="1" x14ac:dyDescent="0.25">
      <c r="B38" s="54"/>
      <c r="C38">
        <v>12</v>
      </c>
      <c r="D38" s="48" t="s">
        <v>56</v>
      </c>
      <c r="E38" s="40">
        <v>412</v>
      </c>
      <c r="F38" s="193">
        <f t="shared" si="2"/>
        <v>2.2130311006069721E-2</v>
      </c>
      <c r="G38" s="40">
        <v>3869</v>
      </c>
      <c r="H38" s="40">
        <f t="shared" si="0"/>
        <v>9.3907766990291268</v>
      </c>
      <c r="I38" s="40">
        <f t="shared" si="3"/>
        <v>732607.02582284878</v>
      </c>
      <c r="J38" s="40">
        <f t="shared" si="4"/>
        <v>1778.1723927739049</v>
      </c>
      <c r="K38" s="40">
        <f ca="1">INDEX(OFFSET(town_establishments[42. Wholesale trade],,C38-$C$27),MATCH(selected_town,town_establishments[Municipality],0),)</f>
        <v>0</v>
      </c>
      <c r="L38" s="41" t="e">
        <f t="shared" ca="1" si="1"/>
        <v>#DIV/0!</v>
      </c>
      <c r="Q38" s="23"/>
    </row>
    <row r="39" spans="2:19" ht="47.25" customHeight="1" x14ac:dyDescent="0.25">
      <c r="B39" s="54"/>
      <c r="C39">
        <v>13</v>
      </c>
      <c r="D39" s="47" t="s">
        <v>57</v>
      </c>
      <c r="E39" s="40">
        <v>1807</v>
      </c>
      <c r="F39" s="193">
        <f t="shared" si="2"/>
        <v>9.706182521351453E-2</v>
      </c>
      <c r="G39" s="40">
        <v>33991</v>
      </c>
      <c r="H39" s="40">
        <f t="shared" si="0"/>
        <v>18.810736026563365</v>
      </c>
      <c r="I39" s="40">
        <f t="shared" si="3"/>
        <v>1467490.6896022826</v>
      </c>
      <c r="J39" s="40">
        <f t="shared" si="4"/>
        <v>812.11438273507611</v>
      </c>
      <c r="K39" s="40">
        <f ca="1">INDEX(OFFSET(town_establishments[42. Wholesale trade],,C39-$C$27),MATCH(selected_town,town_establishments[Municipality],0),)</f>
        <v>0</v>
      </c>
      <c r="L39" s="41" t="e">
        <f t="shared" ca="1" si="1"/>
        <v>#DIV/0!</v>
      </c>
      <c r="Q39" s="23"/>
    </row>
    <row r="40" spans="2:19" ht="47.25" customHeight="1" x14ac:dyDescent="0.25">
      <c r="B40" s="54"/>
      <c r="C40">
        <v>14</v>
      </c>
      <c r="D40" s="48" t="s">
        <v>45</v>
      </c>
      <c r="E40" s="40">
        <v>1982</v>
      </c>
      <c r="F40" s="193">
        <f t="shared" si="2"/>
        <v>0.10646183595638395</v>
      </c>
      <c r="G40" s="40">
        <v>8756</v>
      </c>
      <c r="H40" s="40">
        <f t="shared" si="0"/>
        <v>4.4177598385469219</v>
      </c>
      <c r="I40" s="40">
        <f t="shared" si="3"/>
        <v>344644.75089180813</v>
      </c>
      <c r="J40" s="40">
        <f t="shared" si="4"/>
        <v>173.88736170121501</v>
      </c>
      <c r="K40" s="40">
        <f ca="1">INDEX(OFFSET(town_establishments[42. Wholesale trade],,C40-$C$27),MATCH(selected_town,town_establishments[Municipality],0),)</f>
        <v>0</v>
      </c>
      <c r="L40" s="41" t="e">
        <f t="shared" ca="1" si="1"/>
        <v>#DIV/0!</v>
      </c>
      <c r="Q40" s="23"/>
    </row>
    <row r="41" spans="2:19" ht="33" customHeight="1" x14ac:dyDescent="0.25">
      <c r="B41" s="54"/>
      <c r="D41" s="42"/>
      <c r="E41" s="185">
        <f>SUM(E27:E40)</f>
        <v>18617</v>
      </c>
      <c r="F41" s="185"/>
      <c r="G41" s="185">
        <f>SUM(G27:G40)</f>
        <v>201453</v>
      </c>
      <c r="H41" s="43"/>
      <c r="I41" s="44">
        <v>13000000</v>
      </c>
      <c r="J41" s="43"/>
      <c r="K41" s="185">
        <f ca="1">SUM(K27:K40)</f>
        <v>0</v>
      </c>
      <c r="L41" s="45" t="e">
        <f ca="1">SUMPRODUCT(J27:J40,L27:L40)</f>
        <v>#DIV/0!</v>
      </c>
      <c r="M41" s="278" t="s">
        <v>542</v>
      </c>
      <c r="N41" s="279"/>
      <c r="O41" s="279"/>
      <c r="P41" s="279"/>
      <c r="Q41" s="279"/>
      <c r="R41" s="279"/>
      <c r="S41" s="279"/>
    </row>
    <row r="42" spans="2:19" ht="22.5" customHeight="1" x14ac:dyDescent="0.25">
      <c r="B42" s="54"/>
    </row>
    <row r="43" spans="2:19" ht="37.5" customHeight="1" x14ac:dyDescent="0.25">
      <c r="B43" s="55" t="e">
        <f ca="1">B22*B24</f>
        <v>#DIV/0!</v>
      </c>
      <c r="C43" s="268" t="s">
        <v>488</v>
      </c>
      <c r="D43" s="267"/>
      <c r="E43" s="267"/>
      <c r="F43" s="267"/>
      <c r="G43" s="267"/>
      <c r="H43" s="267"/>
      <c r="I43" s="267"/>
      <c r="J43" s="267"/>
      <c r="K43" s="267"/>
      <c r="L43" s="267"/>
      <c r="M43" s="267"/>
      <c r="N43" s="267"/>
    </row>
    <row r="45" spans="2:19" ht="37.5" customHeight="1" x14ac:dyDescent="0.25">
      <c r="B45" s="194">
        <f ca="1">SUMPRODUCT(K27:K40,H27:H40)/SUMPRODUCT(E27:E40,H27:H40)</f>
        <v>0</v>
      </c>
      <c r="C45" s="266" t="s">
        <v>489</v>
      </c>
      <c r="D45" s="266"/>
      <c r="E45" s="266"/>
      <c r="F45" s="266"/>
      <c r="G45" s="266"/>
      <c r="H45" s="266"/>
      <c r="I45" s="266"/>
      <c r="J45" s="266"/>
      <c r="K45" s="266"/>
      <c r="L45" s="266"/>
      <c r="M45" s="266"/>
      <c r="N45" s="266"/>
      <c r="O45" s="266"/>
    </row>
    <row r="52" spans="4:4" x14ac:dyDescent="0.25">
      <c r="D52" s="23"/>
    </row>
  </sheetData>
  <mergeCells count="17">
    <mergeCell ref="C4:N4"/>
    <mergeCell ref="C18:N18"/>
    <mergeCell ref="C22:N22"/>
    <mergeCell ref="C24:N24"/>
    <mergeCell ref="C43:N43"/>
    <mergeCell ref="E9:F9"/>
    <mergeCell ref="C8:N8"/>
    <mergeCell ref="G9:N9"/>
    <mergeCell ref="E11:N11"/>
    <mergeCell ref="E16:N16"/>
    <mergeCell ref="E15:N15"/>
    <mergeCell ref="M41:S41"/>
    <mergeCell ref="E14:N14"/>
    <mergeCell ref="E13:N13"/>
    <mergeCell ref="E12:N12"/>
    <mergeCell ref="C10:N10"/>
    <mergeCell ref="C45:O45"/>
  </mergeCells>
  <hyperlinks>
    <hyperlink ref="E9" r:id="rId1" display="Census data"/>
    <hyperlink ref="E23" r:id="rId2" display="Vermont Dept of Labor website"/>
  </hyperlinks>
  <pageMargins left="0.7" right="0.7" top="0.75" bottom="0.75" header="0.3" footer="0.3"/>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89"/>
  <sheetViews>
    <sheetView topLeftCell="A67" zoomScale="70" zoomScaleNormal="70" workbookViewId="0">
      <selection activeCell="C78" sqref="C78"/>
    </sheetView>
  </sheetViews>
  <sheetFormatPr defaultRowHeight="15" x14ac:dyDescent="0.25"/>
  <cols>
    <col min="1" max="1" width="6.85546875" customWidth="1"/>
    <col min="2" max="5" width="13.5703125" customWidth="1"/>
    <col min="6" max="6" width="16.28515625" customWidth="1"/>
    <col min="7" max="19" width="13.5703125" customWidth="1"/>
    <col min="20" max="20" width="11.7109375" customWidth="1"/>
    <col min="22" max="22" width="15" bestFit="1" customWidth="1"/>
    <col min="23" max="23" width="12.5703125" bestFit="1" customWidth="1"/>
    <col min="24" max="25" width="13.85546875" bestFit="1" customWidth="1"/>
    <col min="31" max="33" width="11.140625" bestFit="1" customWidth="1"/>
    <col min="34" max="34" width="13.85546875" bestFit="1" customWidth="1"/>
    <col min="35" max="35" width="10.42578125" customWidth="1"/>
    <col min="36" max="36" width="25.85546875" bestFit="1" customWidth="1"/>
  </cols>
  <sheetData>
    <row r="2" spans="2:15" ht="21" x14ac:dyDescent="0.35">
      <c r="B2" s="52" t="s">
        <v>490</v>
      </c>
    </row>
    <row r="4" spans="2:15" ht="19.5" customHeight="1" x14ac:dyDescent="0.25">
      <c r="B4" s="288" t="s">
        <v>491</v>
      </c>
      <c r="C4" s="289"/>
      <c r="D4" s="289"/>
      <c r="E4" s="289"/>
      <c r="F4" s="289"/>
      <c r="G4" s="289"/>
      <c r="H4" s="289"/>
      <c r="I4" s="289"/>
      <c r="J4" s="289"/>
      <c r="K4" s="289"/>
      <c r="L4" s="289"/>
      <c r="M4" s="289"/>
      <c r="N4" s="290"/>
    </row>
    <row r="5" spans="2:15" ht="19.5" customHeight="1" x14ac:dyDescent="0.25">
      <c r="B5" s="291"/>
      <c r="C5" s="292"/>
      <c r="D5" s="292"/>
      <c r="E5" s="292"/>
      <c r="F5" s="292"/>
      <c r="G5" s="292"/>
      <c r="H5" s="292"/>
      <c r="I5" s="292"/>
      <c r="J5" s="292"/>
      <c r="K5" s="292"/>
      <c r="L5" s="292"/>
      <c r="M5" s="292"/>
      <c r="N5" s="293"/>
    </row>
    <row r="6" spans="2:15" ht="19.5" customHeight="1" x14ac:dyDescent="0.25">
      <c r="B6" s="294"/>
      <c r="C6" s="295"/>
      <c r="D6" s="295"/>
      <c r="E6" s="295"/>
      <c r="F6" s="295"/>
      <c r="G6" s="295"/>
      <c r="H6" s="295"/>
      <c r="I6" s="295"/>
      <c r="J6" s="295"/>
      <c r="K6" s="295"/>
      <c r="L6" s="295"/>
      <c r="M6" s="295"/>
      <c r="N6" s="296"/>
    </row>
    <row r="8" spans="2:15" ht="18.75" x14ac:dyDescent="0.3">
      <c r="B8" s="51" t="s">
        <v>100</v>
      </c>
    </row>
    <row r="10" spans="2:15" x14ac:dyDescent="0.25">
      <c r="B10" s="68">
        <v>100</v>
      </c>
      <c r="C10" s="69" t="s">
        <v>117</v>
      </c>
      <c r="D10" s="69"/>
      <c r="E10" s="69"/>
      <c r="F10" s="69"/>
      <c r="G10" s="69"/>
      <c r="H10" s="69"/>
      <c r="I10" s="69"/>
      <c r="J10" s="69"/>
      <c r="K10" s="70"/>
    </row>
    <row r="11" spans="2:15" x14ac:dyDescent="0.25">
      <c r="B11" s="6">
        <v>90</v>
      </c>
      <c r="C11" s="71" t="s">
        <v>163</v>
      </c>
      <c r="D11" s="71"/>
      <c r="E11" s="71"/>
      <c r="F11" s="71"/>
      <c r="G11" s="71"/>
      <c r="H11" s="71"/>
      <c r="I11" s="71"/>
      <c r="J11" s="71"/>
      <c r="K11" s="72"/>
      <c r="M11" s="297" t="s">
        <v>150</v>
      </c>
      <c r="N11" s="298"/>
      <c r="O11" s="299"/>
    </row>
    <row r="12" spans="2:15" x14ac:dyDescent="0.25">
      <c r="B12" s="1">
        <v>100</v>
      </c>
      <c r="C12" s="2" t="s">
        <v>99</v>
      </c>
      <c r="D12" s="2"/>
      <c r="E12" s="2"/>
      <c r="F12" s="2"/>
      <c r="G12" s="2"/>
      <c r="H12" s="2"/>
      <c r="I12" s="2"/>
      <c r="J12" s="2"/>
      <c r="K12" s="3"/>
      <c r="M12" s="300"/>
      <c r="N12" s="301"/>
      <c r="O12" s="302"/>
    </row>
    <row r="13" spans="2:15" x14ac:dyDescent="0.25">
      <c r="B13" s="6">
        <v>40</v>
      </c>
      <c r="C13" s="71" t="s">
        <v>166</v>
      </c>
      <c r="D13" s="71"/>
      <c r="E13" s="71"/>
      <c r="F13" s="71"/>
      <c r="G13" s="71"/>
      <c r="H13" s="71"/>
      <c r="I13" s="71"/>
      <c r="J13" s="71"/>
      <c r="K13" s="72"/>
    </row>
    <row r="14" spans="2:15" x14ac:dyDescent="0.25">
      <c r="B14" s="1">
        <v>100</v>
      </c>
      <c r="C14" s="114" t="s">
        <v>160</v>
      </c>
      <c r="D14" s="2"/>
      <c r="E14" s="2"/>
      <c r="F14" s="2"/>
      <c r="G14" s="2"/>
      <c r="H14" s="2"/>
      <c r="I14" s="2"/>
      <c r="J14" s="2"/>
      <c r="K14" s="3"/>
      <c r="M14" s="297" t="s">
        <v>168</v>
      </c>
      <c r="N14" s="298"/>
      <c r="O14" s="299"/>
    </row>
    <row r="15" spans="2:15" x14ac:dyDescent="0.25">
      <c r="B15" s="1">
        <v>100</v>
      </c>
      <c r="C15" s="114" t="s">
        <v>164</v>
      </c>
      <c r="D15" s="2"/>
      <c r="E15" s="2"/>
      <c r="F15" s="2"/>
      <c r="G15" s="2"/>
      <c r="H15" s="2"/>
      <c r="I15" s="2"/>
      <c r="J15" s="2"/>
      <c r="K15" s="3"/>
      <c r="M15" s="300"/>
      <c r="N15" s="301"/>
      <c r="O15" s="302"/>
    </row>
    <row r="16" spans="2:15" x14ac:dyDescent="0.25">
      <c r="B16" s="68">
        <v>100</v>
      </c>
      <c r="C16" s="69" t="s">
        <v>167</v>
      </c>
      <c r="D16" s="69"/>
      <c r="E16" s="69"/>
      <c r="F16" s="69"/>
      <c r="G16" s="69"/>
      <c r="H16" s="69"/>
      <c r="I16" s="69"/>
      <c r="J16" s="69"/>
      <c r="K16" s="70"/>
    </row>
    <row r="17" spans="2:18" x14ac:dyDescent="0.25">
      <c r="B17" s="73">
        <v>40</v>
      </c>
      <c r="C17" s="74" t="s">
        <v>162</v>
      </c>
      <c r="D17" s="74"/>
      <c r="E17" s="74"/>
      <c r="F17" s="74"/>
      <c r="G17" s="74"/>
      <c r="H17" s="74"/>
      <c r="I17" s="74"/>
      <c r="J17" s="74"/>
      <c r="K17" s="75"/>
      <c r="M17" s="297" t="s">
        <v>169</v>
      </c>
      <c r="N17" s="298"/>
      <c r="O17" s="299"/>
    </row>
    <row r="18" spans="2:18" x14ac:dyDescent="0.25">
      <c r="B18" s="1">
        <v>100</v>
      </c>
      <c r="C18" s="2" t="s">
        <v>161</v>
      </c>
      <c r="D18" s="2"/>
      <c r="E18" s="2"/>
      <c r="F18" s="2"/>
      <c r="G18" s="2"/>
      <c r="H18" s="2"/>
      <c r="I18" s="2"/>
      <c r="J18" s="2"/>
      <c r="K18" s="3"/>
      <c r="M18" s="300"/>
      <c r="N18" s="301"/>
      <c r="O18" s="302"/>
    </row>
    <row r="19" spans="2:18" x14ac:dyDescent="0.25">
      <c r="B19" s="6">
        <v>250</v>
      </c>
      <c r="C19" s="71" t="s">
        <v>165</v>
      </c>
      <c r="D19" s="71"/>
      <c r="E19" s="71"/>
      <c r="F19" s="71"/>
      <c r="G19" s="71"/>
      <c r="H19" s="71"/>
      <c r="I19" s="71"/>
      <c r="J19" s="71"/>
      <c r="K19" s="72"/>
    </row>
    <row r="20" spans="2:18" x14ac:dyDescent="0.25">
      <c r="B20" s="21"/>
      <c r="C20" s="21"/>
      <c r="D20" s="21"/>
      <c r="E20" s="21"/>
    </row>
    <row r="21" spans="2:18" ht="18.75" x14ac:dyDescent="0.3">
      <c r="B21" s="51" t="s">
        <v>120</v>
      </c>
    </row>
    <row r="22" spans="2:18" x14ac:dyDescent="0.25">
      <c r="B22" s="25"/>
    </row>
    <row r="23" spans="2:18" x14ac:dyDescent="0.25">
      <c r="B23" s="77">
        <v>2015</v>
      </c>
      <c r="C23" s="78">
        <v>2025</v>
      </c>
      <c r="D23" s="78">
        <v>2035</v>
      </c>
      <c r="E23" s="79">
        <v>2050</v>
      </c>
    </row>
    <row r="24" spans="2:18" ht="56.25" customHeight="1" x14ac:dyDescent="0.25">
      <c r="B24" s="128">
        <f>'LEAP Region'!B14*1000</f>
        <v>6624.9302325581402</v>
      </c>
      <c r="C24" s="129">
        <f>'LEAP Region'!C14*1000</f>
        <v>5554.4186046511622</v>
      </c>
      <c r="D24" s="129">
        <f>'LEAP Region'!D14*1000</f>
        <v>4589.395348837209</v>
      </c>
      <c r="E24" s="130">
        <f>'LEAP Region'!E14*1000</f>
        <v>3132.0930232558139</v>
      </c>
      <c r="G24" s="281" t="s">
        <v>122</v>
      </c>
      <c r="H24" s="281"/>
      <c r="I24" s="281"/>
      <c r="J24" s="281"/>
      <c r="K24" s="281"/>
      <c r="L24" s="281"/>
      <c r="M24" s="281"/>
      <c r="N24" s="281"/>
    </row>
    <row r="25" spans="2:18" ht="56.25" customHeight="1" x14ac:dyDescent="0.25">
      <c r="B25" s="178">
        <f>('LEAP Region'!B7+'LEAP Region'!B8)*(2.4-1)*1000</f>
        <v>52.874418604651154</v>
      </c>
      <c r="C25" s="179">
        <f>('LEAP Region'!C7+'LEAP Region'!C8)*(2.6-1)*1000</f>
        <v>283.38604651162791</v>
      </c>
      <c r="D25" s="179">
        <f>('LEAP Region'!D7+'LEAP Region'!D8)*(2.8-1)*1000</f>
        <v>557.91627906976737</v>
      </c>
      <c r="E25" s="180">
        <f>('LEAP Region'!E7+'LEAP Region'!E8)*(2.3-1)*1000</f>
        <v>597.63720930232546</v>
      </c>
      <c r="G25" s="281" t="s">
        <v>178</v>
      </c>
      <c r="H25" s="281"/>
      <c r="I25" s="281"/>
      <c r="J25" s="281"/>
      <c r="K25" s="281"/>
      <c r="L25" s="281"/>
      <c r="M25" s="281"/>
      <c r="N25" s="281"/>
    </row>
    <row r="26" spans="2:18" ht="56.25" customHeight="1" x14ac:dyDescent="0.25">
      <c r="B26" s="128">
        <f>'LEAP Region'!H14*1000</f>
        <v>6454.3255813953474</v>
      </c>
      <c r="C26" s="129">
        <f>'LEAP Region'!I14*1000</f>
        <v>5269.2093023255811</v>
      </c>
      <c r="D26" s="129">
        <f>'LEAP Region'!J14*1000</f>
        <v>3985.1162790697667</v>
      </c>
      <c r="E26" s="130">
        <f>'LEAP Region'!K14*1000</f>
        <v>2245.2093023255816</v>
      </c>
      <c r="G26" s="281" t="s">
        <v>123</v>
      </c>
      <c r="H26" s="281"/>
      <c r="I26" s="281"/>
      <c r="J26" s="281"/>
      <c r="K26" s="281"/>
      <c r="L26" s="281"/>
      <c r="M26" s="281"/>
      <c r="N26" s="281"/>
    </row>
    <row r="27" spans="2:18" ht="56.25" customHeight="1" thickBot="1" x14ac:dyDescent="0.3">
      <c r="B27" s="181">
        <f>('LEAP Region'!H7+'LEAP Region'!H8)*(2.4-1)*1000</f>
        <v>71.106976744186028</v>
      </c>
      <c r="C27" s="182">
        <f>('LEAP Region'!I7+'LEAP Region'!I8)*(2.6-1)*1000</f>
        <v>325.06046511627909</v>
      </c>
      <c r="D27" s="182">
        <f>('LEAP Region'!J7+'LEAP Region'!J8)*(2.8-1)*1000</f>
        <v>738.4186046511627</v>
      </c>
      <c r="E27" s="183">
        <f>('LEAP Region'!K7+'LEAP Region'!K8)*(3-1)*1000</f>
        <v>1031.4418604651162</v>
      </c>
      <c r="G27" s="281" t="s">
        <v>178</v>
      </c>
      <c r="H27" s="281"/>
      <c r="I27" s="281"/>
      <c r="J27" s="281"/>
      <c r="K27" s="281"/>
      <c r="L27" s="281"/>
      <c r="M27" s="281"/>
      <c r="N27" s="281"/>
    </row>
    <row r="28" spans="2:18" ht="56.25" customHeight="1" thickTop="1" x14ac:dyDescent="0.25">
      <c r="B28" s="128">
        <f>B24+B25-B26-B27</f>
        <v>152.37209302325832</v>
      </c>
      <c r="C28" s="129">
        <f>C24+C25-C26-C27</f>
        <v>243.53488372092971</v>
      </c>
      <c r="D28" s="129">
        <f>D24+D25-D26-D27</f>
        <v>423.77674418604693</v>
      </c>
      <c r="E28" s="130">
        <f>E24+E25-E26-E27</f>
        <v>453.07906976744175</v>
      </c>
      <c r="G28" s="281" t="s">
        <v>177</v>
      </c>
      <c r="H28" s="281"/>
      <c r="I28" s="281"/>
      <c r="J28" s="281"/>
      <c r="K28" s="281"/>
      <c r="L28" s="281"/>
      <c r="M28" s="281"/>
      <c r="N28" s="281"/>
    </row>
    <row r="29" spans="2:18" ht="56.25" customHeight="1" x14ac:dyDescent="0.25">
      <c r="B29" s="282">
        <f>0.25*'1.Current Heat'!B10</f>
        <v>31.037500000000001</v>
      </c>
      <c r="C29" s="283"/>
      <c r="D29" s="283"/>
      <c r="E29" s="284"/>
      <c r="G29" s="281" t="s">
        <v>124</v>
      </c>
      <c r="H29" s="281"/>
      <c r="I29" s="281"/>
      <c r="J29" s="281"/>
      <c r="K29" s="281"/>
      <c r="L29" s="281"/>
      <c r="M29" s="281"/>
      <c r="N29" s="281"/>
      <c r="R29">
        <v>60</v>
      </c>
    </row>
    <row r="30" spans="2:18" ht="56.25" customHeight="1" x14ac:dyDescent="0.25">
      <c r="B30" s="128">
        <f>B28/$B$29</f>
        <v>4.9092901497626515</v>
      </c>
      <c r="C30" s="129">
        <f>C28/$B$29</f>
        <v>7.8464722906461439</v>
      </c>
      <c r="D30" s="129">
        <f>D28/$B$29</f>
        <v>13.653700980621728</v>
      </c>
      <c r="E30" s="130">
        <f>E28/$B$29</f>
        <v>14.597795240191438</v>
      </c>
      <c r="G30" s="281" t="s">
        <v>125</v>
      </c>
      <c r="H30" s="281"/>
      <c r="I30" s="281"/>
      <c r="J30" s="281"/>
      <c r="K30" s="281"/>
      <c r="L30" s="281"/>
      <c r="M30" s="281"/>
      <c r="N30" s="281"/>
      <c r="R30">
        <v>96</v>
      </c>
    </row>
    <row r="31" spans="2:18" ht="56.25" customHeight="1" x14ac:dyDescent="0.25">
      <c r="B31" s="131">
        <f>'1.Current Heat'!B8</f>
        <v>36</v>
      </c>
      <c r="C31" s="132">
        <f t="shared" ref="C31:E31" si="0">B31*1.06</f>
        <v>38.160000000000004</v>
      </c>
      <c r="D31" s="132">
        <f t="shared" si="0"/>
        <v>40.449600000000004</v>
      </c>
      <c r="E31" s="133">
        <f t="shared" si="0"/>
        <v>42.876576000000007</v>
      </c>
      <c r="G31" s="281" t="s">
        <v>126</v>
      </c>
      <c r="H31" s="281"/>
      <c r="I31" s="281"/>
      <c r="J31" s="281"/>
      <c r="K31" s="281"/>
      <c r="L31" s="281"/>
      <c r="M31" s="281"/>
      <c r="N31" s="281"/>
      <c r="O31" s="186">
        <f>(E31/B31)^(1/(E23-B23))-1</f>
        <v>5.006971033976404E-3</v>
      </c>
      <c r="R31">
        <f>R29+R30</f>
        <v>156</v>
      </c>
    </row>
    <row r="32" spans="2:18" ht="56.25" customHeight="1" x14ac:dyDescent="0.25">
      <c r="B32" s="134">
        <f>B30/B31</f>
        <v>0.13636917082674033</v>
      </c>
      <c r="C32" s="135">
        <f>C30/C31</f>
        <v>0.20562034304628257</v>
      </c>
      <c r="D32" s="135">
        <f>D30/D31</f>
        <v>0.3375484796047854</v>
      </c>
      <c r="E32" s="136">
        <f>E30/E31</f>
        <v>0.34046084370616336</v>
      </c>
      <c r="G32" s="281" t="s">
        <v>183</v>
      </c>
      <c r="H32" s="281"/>
      <c r="I32" s="281"/>
      <c r="J32" s="281"/>
      <c r="K32" s="281"/>
      <c r="L32" s="281"/>
      <c r="M32" s="281"/>
      <c r="N32" s="281"/>
    </row>
    <row r="33" spans="2:34" s="161" customFormat="1" x14ac:dyDescent="0.25">
      <c r="B33" s="160"/>
      <c r="C33" s="160"/>
      <c r="D33" s="160"/>
      <c r="E33" s="160"/>
      <c r="G33" s="162"/>
      <c r="H33" s="162"/>
      <c r="I33" s="162"/>
      <c r="J33" s="162"/>
      <c r="K33" s="162"/>
      <c r="L33" s="162"/>
      <c r="M33" s="162"/>
      <c r="N33" s="162"/>
    </row>
    <row r="34" spans="2:34" s="161" customFormat="1" ht="18.75" x14ac:dyDescent="0.25">
      <c r="B34" s="163" t="s">
        <v>121</v>
      </c>
      <c r="C34" s="160"/>
      <c r="D34" s="160"/>
      <c r="E34" s="160"/>
      <c r="G34" s="162"/>
      <c r="H34" s="162"/>
      <c r="I34" s="162"/>
      <c r="J34" s="162"/>
      <c r="K34" s="162"/>
      <c r="L34" s="162"/>
      <c r="M34" s="162"/>
      <c r="N34" s="162"/>
    </row>
    <row r="35" spans="2:34" s="161" customFormat="1" x14ac:dyDescent="0.25">
      <c r="B35" s="164"/>
      <c r="C35" s="160"/>
      <c r="D35" s="160"/>
      <c r="E35" s="160"/>
      <c r="G35" s="162"/>
      <c r="H35" s="162"/>
      <c r="I35" s="162"/>
      <c r="J35" s="162"/>
      <c r="K35" s="162"/>
      <c r="L35" s="162"/>
      <c r="M35" s="162"/>
      <c r="N35" s="162"/>
    </row>
    <row r="36" spans="2:34" x14ac:dyDescent="0.25">
      <c r="B36" s="139">
        <v>2015</v>
      </c>
      <c r="C36" s="140">
        <v>2025</v>
      </c>
      <c r="D36" s="140">
        <v>2035</v>
      </c>
      <c r="E36" s="141">
        <v>2050</v>
      </c>
      <c r="G36" s="126"/>
      <c r="H36" s="126"/>
      <c r="I36" s="126"/>
      <c r="J36" s="126"/>
      <c r="K36" s="126"/>
      <c r="L36" s="126"/>
      <c r="M36" s="126"/>
      <c r="N36" s="126"/>
    </row>
    <row r="37" spans="2:34" ht="56.25" customHeight="1" x14ac:dyDescent="0.25">
      <c r="B37" s="128">
        <f>('LEAP Region'!N11-'LEAP Region'!N6)*1000</f>
        <v>0</v>
      </c>
      <c r="C37" s="129">
        <f>('LEAP Region'!O11-'LEAP Region'!O6)*1000</f>
        <v>0</v>
      </c>
      <c r="D37" s="129">
        <f>('LEAP Region'!P11-'LEAP Region'!P6)*1000</f>
        <v>0</v>
      </c>
      <c r="E37" s="130">
        <f>('LEAP Region'!Q11-'LEAP Region'!Q6)*1000</f>
        <v>0</v>
      </c>
      <c r="G37" s="281" t="s">
        <v>179</v>
      </c>
      <c r="H37" s="281"/>
      <c r="I37" s="281"/>
      <c r="J37" s="281"/>
      <c r="K37" s="281"/>
      <c r="L37" s="281"/>
      <c r="M37" s="281"/>
      <c r="N37" s="281"/>
    </row>
    <row r="38" spans="2:34" ht="56.25" customHeight="1" x14ac:dyDescent="0.25">
      <c r="B38" s="128">
        <f>'LEAP Region'!N6*1000</f>
        <v>0</v>
      </c>
      <c r="C38" s="129">
        <f>'LEAP Region'!O6*1000</f>
        <v>0</v>
      </c>
      <c r="D38" s="129">
        <f>'LEAP Region'!P6*1000</f>
        <v>0</v>
      </c>
      <c r="E38" s="130">
        <f>'LEAP Region'!Q6*1000</f>
        <v>0</v>
      </c>
      <c r="F38" s="184"/>
      <c r="G38" s="281" t="s">
        <v>97</v>
      </c>
      <c r="H38" s="281"/>
      <c r="I38" s="281"/>
      <c r="J38" s="281"/>
      <c r="K38" s="281"/>
      <c r="L38" s="281"/>
      <c r="M38" s="281"/>
      <c r="N38" s="281"/>
    </row>
    <row r="39" spans="2:34" ht="56.25" customHeight="1" x14ac:dyDescent="0.25">
      <c r="B39" s="128">
        <f>0.005*B38</f>
        <v>0</v>
      </c>
      <c r="C39" s="129">
        <f>B39-(($B$39-$E$39)/3)</f>
        <v>0</v>
      </c>
      <c r="D39" s="129">
        <f>C39-(($B$39-$E$39)/3)</f>
        <v>0</v>
      </c>
      <c r="E39" s="130">
        <f>0.05*E38</f>
        <v>0</v>
      </c>
      <c r="G39" s="281" t="s">
        <v>195</v>
      </c>
      <c r="H39" s="281"/>
      <c r="I39" s="281"/>
      <c r="J39" s="281"/>
      <c r="K39" s="281"/>
      <c r="L39" s="281"/>
      <c r="M39" s="281"/>
      <c r="N39" s="281"/>
      <c r="V39" s="21"/>
      <c r="W39" s="21"/>
      <c r="X39" s="21"/>
      <c r="Y39" s="21"/>
      <c r="AH39" s="21"/>
    </row>
    <row r="40" spans="2:34" ht="56.25" customHeight="1" x14ac:dyDescent="0.25">
      <c r="B40" s="142">
        <f>B39*(2.4-1)</f>
        <v>0</v>
      </c>
      <c r="C40" s="143">
        <f>C39*(2.6-1)</f>
        <v>0</v>
      </c>
      <c r="D40" s="143">
        <f>D39*(2.8-1)</f>
        <v>0</v>
      </c>
      <c r="E40" s="144">
        <f>E39*(3-1)</f>
        <v>0</v>
      </c>
      <c r="G40" s="281" t="s">
        <v>196</v>
      </c>
      <c r="H40" s="281"/>
      <c r="I40" s="281"/>
      <c r="J40" s="281"/>
      <c r="K40" s="281"/>
      <c r="L40" s="281"/>
      <c r="M40" s="281"/>
      <c r="N40" s="281"/>
      <c r="V40" s="21"/>
      <c r="W40" s="21"/>
      <c r="X40" s="21"/>
      <c r="Y40" s="21"/>
      <c r="AH40" s="21"/>
    </row>
    <row r="41" spans="2:34" ht="56.25" customHeight="1" x14ac:dyDescent="0.25">
      <c r="B41" s="128">
        <f>('LEAP Region'!T11-'LEAP Region'!T6)*1000</f>
        <v>0</v>
      </c>
      <c r="C41" s="129">
        <f>('LEAP Region'!U11-'LEAP Region'!U6)*1000</f>
        <v>0</v>
      </c>
      <c r="D41" s="129">
        <f>('LEAP Region'!V11-'LEAP Region'!V6)*1000</f>
        <v>0</v>
      </c>
      <c r="E41" s="130">
        <f>('LEAP Region'!W11-'LEAP Region'!W6)*1000</f>
        <v>0</v>
      </c>
      <c r="G41" s="281" t="s">
        <v>197</v>
      </c>
      <c r="H41" s="281"/>
      <c r="I41" s="281"/>
      <c r="J41" s="281"/>
      <c r="K41" s="281"/>
      <c r="L41" s="281"/>
      <c r="M41" s="281"/>
      <c r="N41" s="281"/>
      <c r="AH41" s="21"/>
    </row>
    <row r="42" spans="2:34" ht="56.25" customHeight="1" x14ac:dyDescent="0.25">
      <c r="B42" s="128">
        <f>'LEAP Region'!T6*1000</f>
        <v>0</v>
      </c>
      <c r="C42" s="129">
        <f>'LEAP Region'!U6*1000</f>
        <v>0</v>
      </c>
      <c r="D42" s="129">
        <f>'LEAP Region'!V6*1000</f>
        <v>0</v>
      </c>
      <c r="E42" s="130">
        <f>'LEAP Region'!W6*1000</f>
        <v>0</v>
      </c>
      <c r="G42" s="281" t="s">
        <v>98</v>
      </c>
      <c r="H42" s="281"/>
      <c r="I42" s="281"/>
      <c r="J42" s="281"/>
      <c r="K42" s="281"/>
      <c r="L42" s="281"/>
      <c r="M42" s="281"/>
      <c r="N42" s="281"/>
      <c r="V42" s="29"/>
      <c r="W42" s="29"/>
      <c r="X42" s="29"/>
      <c r="Y42" s="29"/>
      <c r="AH42" s="21"/>
    </row>
    <row r="43" spans="2:34" ht="56.25" customHeight="1" x14ac:dyDescent="0.25">
      <c r="B43" s="128">
        <f>B39</f>
        <v>0</v>
      </c>
      <c r="C43" s="129">
        <f>B43-(($B$43-$E$43)/3)</f>
        <v>0</v>
      </c>
      <c r="D43" s="129">
        <f>C43-(($B$43-$E$43)/3)</f>
        <v>0</v>
      </c>
      <c r="E43" s="130">
        <f>0.8*((E37+E39+E40-E41)/3)</f>
        <v>0</v>
      </c>
      <c r="G43" s="281" t="s">
        <v>142</v>
      </c>
      <c r="H43" s="281"/>
      <c r="I43" s="281"/>
      <c r="J43" s="281"/>
      <c r="K43" s="281"/>
      <c r="L43" s="281"/>
      <c r="M43" s="281"/>
      <c r="N43" s="281"/>
      <c r="AH43" s="21"/>
    </row>
    <row r="44" spans="2:34" ht="56.25" customHeight="1" x14ac:dyDescent="0.25">
      <c r="B44" s="128">
        <f>B43*(2.4-1)</f>
        <v>0</v>
      </c>
      <c r="C44" s="129">
        <f>C43*(2.6-1)</f>
        <v>0</v>
      </c>
      <c r="D44" s="129">
        <f>D43*(2.8-1)</f>
        <v>0</v>
      </c>
      <c r="E44" s="130">
        <f>E43*(3-1)</f>
        <v>0</v>
      </c>
      <c r="F44" s="21"/>
      <c r="G44" s="281" t="s">
        <v>96</v>
      </c>
      <c r="H44" s="281"/>
      <c r="I44" s="281"/>
      <c r="J44" s="281"/>
      <c r="K44" s="281"/>
      <c r="L44" s="281"/>
      <c r="M44" s="281"/>
      <c r="N44" s="281"/>
      <c r="R44">
        <v>33</v>
      </c>
      <c r="V44" s="21"/>
      <c r="W44" s="21"/>
      <c r="X44" s="21"/>
      <c r="Y44" s="21"/>
      <c r="AH44" s="21"/>
    </row>
    <row r="45" spans="2:34" ht="56.25" customHeight="1" x14ac:dyDescent="0.25">
      <c r="B45" s="128">
        <f>B37+B39+B40-B41-B43-B44</f>
        <v>0</v>
      </c>
      <c r="C45" s="129">
        <f>C37+C39+C40-C41-C43-C44</f>
        <v>0</v>
      </c>
      <c r="D45" s="129">
        <f>D37+D39+D40-D41-D43-D44</f>
        <v>0</v>
      </c>
      <c r="E45" s="130">
        <f>E37+E39+E40-E41-E43-E44</f>
        <v>0</v>
      </c>
      <c r="F45" s="92"/>
      <c r="G45" s="281" t="s">
        <v>149</v>
      </c>
      <c r="H45" s="281"/>
      <c r="I45" s="281"/>
      <c r="J45" s="281"/>
      <c r="K45" s="281"/>
      <c r="L45" s="281"/>
      <c r="M45" s="281"/>
      <c r="N45" s="281"/>
      <c r="R45">
        <v>6</v>
      </c>
      <c r="AH45" s="21"/>
    </row>
    <row r="46" spans="2:34" ht="56.25" customHeight="1" x14ac:dyDescent="0.25">
      <c r="B46" s="285" t="e">
        <f ca="1">0.2*'1.Current Heat'!B24</f>
        <v>#DIV/0!</v>
      </c>
      <c r="C46" s="286"/>
      <c r="D46" s="286"/>
      <c r="E46" s="287"/>
      <c r="G46" s="281" t="s">
        <v>127</v>
      </c>
      <c r="H46" s="281"/>
      <c r="I46" s="281"/>
      <c r="J46" s="281"/>
      <c r="K46" s="281"/>
      <c r="L46" s="281"/>
      <c r="M46" s="281"/>
      <c r="N46" s="281"/>
      <c r="R46">
        <f>R45/R44</f>
        <v>0.18181818181818182</v>
      </c>
      <c r="AH46" s="21"/>
    </row>
    <row r="47" spans="2:34" ht="56.25" customHeight="1" x14ac:dyDescent="0.25">
      <c r="B47" s="128" t="e">
        <f ca="1">B45/$B$46</f>
        <v>#DIV/0!</v>
      </c>
      <c r="C47" s="129" t="e">
        <f ca="1">C45/$B$46</f>
        <v>#DIV/0!</v>
      </c>
      <c r="D47" s="129" t="e">
        <f ca="1">D45/$B$46</f>
        <v>#DIV/0!</v>
      </c>
      <c r="E47" s="130" t="e">
        <f ca="1">E45/$B$46</f>
        <v>#DIV/0!</v>
      </c>
      <c r="G47" s="281" t="s">
        <v>128</v>
      </c>
      <c r="H47" s="281"/>
      <c r="I47" s="281"/>
      <c r="J47" s="281"/>
      <c r="K47" s="281"/>
      <c r="L47" s="281"/>
      <c r="M47" s="281"/>
      <c r="N47" s="281"/>
    </row>
    <row r="48" spans="2:34" ht="56.25" customHeight="1" x14ac:dyDescent="0.25">
      <c r="B48" s="131">
        <f ca="1">'1.Current Heat'!B22</f>
        <v>0</v>
      </c>
      <c r="C48" s="132">
        <f t="shared" ref="C48:E48" ca="1" si="1">B48*1.06</f>
        <v>0</v>
      </c>
      <c r="D48" s="132">
        <f t="shared" ca="1" si="1"/>
        <v>0</v>
      </c>
      <c r="E48" s="133">
        <f t="shared" ca="1" si="1"/>
        <v>0</v>
      </c>
      <c r="G48" s="281" t="s">
        <v>194</v>
      </c>
      <c r="H48" s="281"/>
      <c r="I48" s="281"/>
      <c r="J48" s="281"/>
      <c r="K48" s="281"/>
      <c r="L48" s="281"/>
      <c r="M48" s="281"/>
      <c r="N48" s="281"/>
      <c r="O48" s="186" t="e">
        <f ca="1">(E48/B48)^(1/(E36-B36))-1</f>
        <v>#DIV/0!</v>
      </c>
    </row>
    <row r="49" spans="1:14" ht="56.25" customHeight="1" x14ac:dyDescent="0.25">
      <c r="B49" s="134" t="e">
        <f ca="1">B47/B48</f>
        <v>#DIV/0!</v>
      </c>
      <c r="C49" s="135" t="e">
        <f ca="1">C47/C48</f>
        <v>#DIV/0!</v>
      </c>
      <c r="D49" s="135" t="e">
        <f ca="1">D47/D48</f>
        <v>#DIV/0!</v>
      </c>
      <c r="E49" s="136" t="e">
        <f ca="1">E47/E48</f>
        <v>#DIV/0!</v>
      </c>
      <c r="G49" s="281" t="s">
        <v>182</v>
      </c>
      <c r="H49" s="281"/>
      <c r="I49" s="281"/>
      <c r="J49" s="281"/>
      <c r="K49" s="281"/>
      <c r="L49" s="281"/>
      <c r="M49" s="281"/>
      <c r="N49" s="281"/>
    </row>
    <row r="50" spans="1:14" x14ac:dyDescent="0.25">
      <c r="B50" s="145"/>
      <c r="C50" s="145"/>
      <c r="D50" s="145"/>
      <c r="E50" s="145"/>
      <c r="G50" s="126"/>
      <c r="H50" s="126"/>
      <c r="I50" s="126"/>
      <c r="J50" s="126"/>
      <c r="K50" s="126"/>
      <c r="L50" s="126"/>
      <c r="M50" s="126"/>
      <c r="N50" s="126"/>
    </row>
    <row r="51" spans="1:14" ht="18.75" x14ac:dyDescent="0.25">
      <c r="B51" s="137" t="s">
        <v>129</v>
      </c>
      <c r="C51" s="58"/>
      <c r="D51" s="58"/>
      <c r="E51" s="58"/>
      <c r="G51" s="126"/>
      <c r="H51" s="126"/>
      <c r="I51" s="126"/>
      <c r="J51" s="126"/>
      <c r="K51" s="126"/>
      <c r="L51" s="126"/>
      <c r="M51" s="126"/>
      <c r="N51" s="126"/>
    </row>
    <row r="52" spans="1:14" x14ac:dyDescent="0.25">
      <c r="B52" s="138"/>
      <c r="C52" s="58"/>
      <c r="D52" s="58"/>
      <c r="E52" s="58"/>
      <c r="G52" s="126"/>
      <c r="H52" s="126"/>
      <c r="I52" s="126"/>
      <c r="J52" s="126"/>
      <c r="K52" s="126"/>
      <c r="L52" s="126"/>
      <c r="M52" s="126"/>
      <c r="N52" s="126"/>
    </row>
    <row r="53" spans="1:14" x14ac:dyDescent="0.25">
      <c r="B53" s="139">
        <v>2015</v>
      </c>
      <c r="C53" s="140">
        <v>2025</v>
      </c>
      <c r="D53" s="140">
        <v>2035</v>
      </c>
      <c r="E53" s="141">
        <v>2050</v>
      </c>
      <c r="G53" s="126"/>
      <c r="H53" s="126"/>
      <c r="I53" s="126"/>
      <c r="J53" s="126"/>
      <c r="K53" s="126"/>
      <c r="L53" s="127"/>
      <c r="M53" s="126"/>
      <c r="N53" s="126"/>
    </row>
    <row r="54" spans="1:14" ht="56.25" customHeight="1" x14ac:dyDescent="0.25">
      <c r="B54" s="146">
        <f>'1.Current Heat'!B10</f>
        <v>124.15</v>
      </c>
      <c r="C54" s="147">
        <f>C32*($B$54-$B$29)+(1-C32)*$B$54</f>
        <v>117.768058602701</v>
      </c>
      <c r="D54" s="147">
        <f>D32*($B$54-$B$29)+(1-D32)*$B$54</f>
        <v>113.67333906426649</v>
      </c>
      <c r="E54" s="148">
        <f>E32*($B$54-$B$29)+(1-E32)*$B$54</f>
        <v>113.58294656346996</v>
      </c>
      <c r="F54" s="1"/>
      <c r="G54" s="281" t="s">
        <v>109</v>
      </c>
      <c r="H54" s="281"/>
      <c r="I54" s="281"/>
      <c r="J54" s="281"/>
      <c r="K54" s="281"/>
      <c r="L54" s="281"/>
      <c r="M54" s="281"/>
      <c r="N54" s="281"/>
    </row>
    <row r="55" spans="1:14" ht="56.25" customHeight="1" x14ac:dyDescent="0.25">
      <c r="B55" s="149">
        <f>('LEAP Region'!H4+'LEAP Region'!H9+'LEAP Region'!H12)*1000</f>
        <v>2380.6511627906975</v>
      </c>
      <c r="C55" s="150">
        <f>('LEAP Region'!I4+'LEAP Region'!I9+'LEAP Region'!I12)*1000</f>
        <v>1728.1860465116279</v>
      </c>
      <c r="D55" s="150">
        <f>('LEAP Region'!J4+'LEAP Region'!J9+'LEAP Region'!J12)*1000</f>
        <v>1099.1627906976744</v>
      </c>
      <c r="E55" s="151">
        <f>('LEAP Region'!K4+'LEAP Region'!K9+'LEAP Region'!K12)*1000</f>
        <v>165.3953488372093</v>
      </c>
      <c r="G55" s="281" t="s">
        <v>110</v>
      </c>
      <c r="H55" s="281"/>
      <c r="I55" s="281"/>
      <c r="J55" s="281"/>
      <c r="K55" s="281"/>
      <c r="L55" s="281"/>
      <c r="M55" s="281"/>
      <c r="N55" s="281"/>
    </row>
    <row r="56" spans="1:14" ht="56.25" customHeight="1" x14ac:dyDescent="0.25">
      <c r="B56" s="152">
        <f>'LEAP Region'!H4*1000/'2.Heat Targets'!B55</f>
        <v>7.6586433260393879E-3</v>
      </c>
      <c r="C56" s="153">
        <f>'LEAP Region'!I4*1000/'2.Heat Targets'!C55</f>
        <v>3.7678975131876416E-2</v>
      </c>
      <c r="D56" s="153">
        <f>'LEAP Region'!J4*1000/'2.Heat Targets'!D55</f>
        <v>9.7156398104265393E-2</v>
      </c>
      <c r="E56" s="154">
        <f>'LEAP Region'!K4*1000/'2.Heat Targets'!E55</f>
        <v>1</v>
      </c>
      <c r="G56" s="281" t="s">
        <v>137</v>
      </c>
      <c r="H56" s="281"/>
      <c r="I56" s="281"/>
      <c r="J56" s="281"/>
      <c r="K56" s="281"/>
      <c r="L56" s="281"/>
      <c r="M56" s="281"/>
      <c r="N56" s="281"/>
    </row>
    <row r="57" spans="1:14" ht="56.25" customHeight="1" x14ac:dyDescent="0.25">
      <c r="B57" s="128">
        <f>B55/B54</f>
        <v>19.175603405482864</v>
      </c>
      <c r="C57" s="129">
        <f>C55/C54</f>
        <v>14.674488711253936</v>
      </c>
      <c r="D57" s="129">
        <f>D55/D54</f>
        <v>9.6694862642879738</v>
      </c>
      <c r="E57" s="130">
        <f>E55/E54</f>
        <v>1.4561635689278993</v>
      </c>
      <c r="G57" s="281" t="s">
        <v>111</v>
      </c>
      <c r="H57" s="281"/>
      <c r="I57" s="281"/>
      <c r="J57" s="281"/>
      <c r="K57" s="281"/>
      <c r="L57" s="281"/>
      <c r="M57" s="281"/>
      <c r="N57" s="281"/>
    </row>
    <row r="58" spans="1:14" ht="56.25" customHeight="1" x14ac:dyDescent="0.25">
      <c r="B58" s="134">
        <f>B57/B31</f>
        <v>0.53265565015230176</v>
      </c>
      <c r="C58" s="135">
        <f>C57/C31</f>
        <v>0.38455159096577396</v>
      </c>
      <c r="D58" s="135">
        <f>D57/D31</f>
        <v>0.23905023199952466</v>
      </c>
      <c r="E58" s="136">
        <f>E57/E31</f>
        <v>3.3961750325583344E-2</v>
      </c>
      <c r="G58" s="281" t="s">
        <v>130</v>
      </c>
      <c r="H58" s="281"/>
      <c r="I58" s="281"/>
      <c r="J58" s="281"/>
      <c r="K58" s="281"/>
      <c r="L58" s="281"/>
      <c r="M58" s="281"/>
      <c r="N58" s="281"/>
    </row>
    <row r="59" spans="1:14" ht="56.25" customHeight="1" x14ac:dyDescent="0.25">
      <c r="B59" s="149">
        <f>('LEAP Region'!H5+'LEAP Region'!H13)*1000</f>
        <v>2832.5581395348836</v>
      </c>
      <c r="C59" s="150">
        <f>('LEAP Region'!I5+'LEAP Region'!I13)*1000</f>
        <v>2374.1395348837209</v>
      </c>
      <c r="D59" s="150">
        <f>('LEAP Region'!J5+'LEAP Region'!J13)*1000</f>
        <v>1881.8604651162789</v>
      </c>
      <c r="E59" s="151">
        <f>('LEAP Region'!K5+'LEAP Region'!K13)*1000</f>
        <v>1362.2325581395346</v>
      </c>
      <c r="G59" s="281" t="s">
        <v>112</v>
      </c>
      <c r="H59" s="281"/>
      <c r="I59" s="281"/>
      <c r="J59" s="281"/>
      <c r="K59" s="281"/>
      <c r="L59" s="281"/>
      <c r="M59" s="281"/>
      <c r="N59" s="281"/>
    </row>
    <row r="60" spans="1:14" ht="56.25" customHeight="1" x14ac:dyDescent="0.25">
      <c r="A60" s="2"/>
      <c r="B60" s="128">
        <f>B59/B54</f>
        <v>22.815611272935026</v>
      </c>
      <c r="C60" s="129">
        <f>C59/C54</f>
        <v>20.159452087879369</v>
      </c>
      <c r="D60" s="129">
        <f>D59/D54</f>
        <v>16.554985369545168</v>
      </c>
      <c r="E60" s="130">
        <f>E59/E54</f>
        <v>11.993284197626634</v>
      </c>
      <c r="G60" s="281" t="s">
        <v>140</v>
      </c>
      <c r="H60" s="281"/>
      <c r="I60" s="281"/>
      <c r="J60" s="281"/>
      <c r="K60" s="281"/>
      <c r="L60" s="281"/>
      <c r="M60" s="281"/>
      <c r="N60" s="281"/>
    </row>
    <row r="61" spans="1:14" ht="56.25" customHeight="1" x14ac:dyDescent="0.25">
      <c r="B61" s="134">
        <f>B60/B31</f>
        <v>0.63376697980375074</v>
      </c>
      <c r="C61" s="135">
        <f>C60/C31</f>
        <v>0.52828752850836913</v>
      </c>
      <c r="D61" s="135">
        <f>D60/D31</f>
        <v>0.40927439009397293</v>
      </c>
      <c r="E61" s="136">
        <f>E60/E31</f>
        <v>0.27971646331149747</v>
      </c>
      <c r="G61" s="281" t="s">
        <v>131</v>
      </c>
      <c r="H61" s="281"/>
      <c r="I61" s="281"/>
      <c r="J61" s="281"/>
      <c r="K61" s="281"/>
      <c r="L61" s="281"/>
      <c r="M61" s="281"/>
      <c r="N61" s="281"/>
    </row>
    <row r="62" spans="1:14" ht="56.25" customHeight="1" x14ac:dyDescent="0.25">
      <c r="B62" s="149">
        <f>('LEAP Region'!H7+'LEAP Region'!H8)*1000</f>
        <v>50.790697674418603</v>
      </c>
      <c r="C62" s="150">
        <f>('LEAP Region'!I7+'LEAP Region'!I8)*1000</f>
        <v>203.16279069767441</v>
      </c>
      <c r="D62" s="150">
        <f>('LEAP Region'!J7+'LEAP Region'!J8)*1000</f>
        <v>410.23255813953483</v>
      </c>
      <c r="E62" s="151">
        <f>('LEAP Region'!K7+'LEAP Region'!K8)*1000</f>
        <v>515.72093023255809</v>
      </c>
      <c r="G62" s="281" t="s">
        <v>113</v>
      </c>
      <c r="H62" s="281"/>
      <c r="I62" s="281"/>
      <c r="J62" s="281"/>
      <c r="K62" s="281"/>
      <c r="L62" s="281"/>
      <c r="M62" s="281"/>
      <c r="N62" s="281"/>
    </row>
    <row r="63" spans="1:14" ht="56.25" customHeight="1" x14ac:dyDescent="0.25">
      <c r="B63" s="128">
        <f>B62/((0.7*B54)/2.4)</f>
        <v>1.4026543285035917</v>
      </c>
      <c r="C63" s="129">
        <f>C62/((0.75*C54)/2.6)</f>
        <v>5.9803794235464425</v>
      </c>
      <c r="D63" s="129">
        <f>D62/((0.8*D54)/2.8)</f>
        <v>12.631052851158161</v>
      </c>
      <c r="E63" s="130">
        <f>E62/((0.85*E54)/3)</f>
        <v>16.025218340772067</v>
      </c>
      <c r="F63" s="91"/>
      <c r="G63" s="281" t="s">
        <v>180</v>
      </c>
      <c r="H63" s="281"/>
      <c r="I63" s="281"/>
      <c r="J63" s="281"/>
      <c r="K63" s="281"/>
      <c r="L63" s="281"/>
      <c r="M63" s="281"/>
      <c r="N63" s="281"/>
    </row>
    <row r="64" spans="1:14" ht="56.25" customHeight="1" x14ac:dyDescent="0.25">
      <c r="B64" s="134">
        <f>B63/B31</f>
        <v>3.8962620236210881E-2</v>
      </c>
      <c r="C64" s="135">
        <f>C63/C31</f>
        <v>0.15671853835289418</v>
      </c>
      <c r="D64" s="135">
        <f>D63/D31</f>
        <v>0.31226644642117996</v>
      </c>
      <c r="E64" s="136">
        <f>E63/E31</f>
        <v>0.37375228704764263</v>
      </c>
      <c r="G64" s="281" t="s">
        <v>114</v>
      </c>
      <c r="H64" s="281"/>
      <c r="I64" s="281"/>
      <c r="J64" s="281"/>
      <c r="K64" s="281"/>
      <c r="L64" s="281"/>
      <c r="M64" s="281"/>
      <c r="N64" s="281"/>
    </row>
    <row r="65" spans="1:20" ht="56.25" customHeight="1" x14ac:dyDescent="0.25">
      <c r="B65" s="149">
        <f>('LEAP Region'!H10+'LEAP Region'!H11)*1000</f>
        <v>920.74418604651157</v>
      </c>
      <c r="C65" s="150">
        <f>('LEAP Region'!I10+'LEAP Region'!I11)*1000</f>
        <v>720.18604651162786</v>
      </c>
      <c r="D65" s="150">
        <f>('LEAP Region'!J10+'LEAP Region'!J11)*1000</f>
        <v>461.02325581395348</v>
      </c>
      <c r="E65" s="151">
        <f>('LEAP Region'!K10+'LEAP Region'!K11)*1000</f>
        <v>161.48837209302326</v>
      </c>
      <c r="G65" s="281" t="s">
        <v>115</v>
      </c>
      <c r="H65" s="281"/>
      <c r="I65" s="281"/>
      <c r="J65" s="281"/>
      <c r="K65" s="281"/>
      <c r="L65" s="281"/>
      <c r="M65" s="281"/>
      <c r="N65" s="281"/>
    </row>
    <row r="66" spans="1:20" ht="56.25" customHeight="1" x14ac:dyDescent="0.25">
      <c r="B66" s="128">
        <f>B65/B54</f>
        <v>7.4163849057310633</v>
      </c>
      <c r="C66" s="129">
        <f>C65/C54</f>
        <v>6.1152918291811806</v>
      </c>
      <c r="D66" s="129">
        <f>D65/D54</f>
        <v>4.0556849971065674</v>
      </c>
      <c r="E66" s="130">
        <f>E65/E54</f>
        <v>1.4217660043075553</v>
      </c>
      <c r="G66" s="281" t="s">
        <v>146</v>
      </c>
      <c r="H66" s="281"/>
      <c r="I66" s="281"/>
      <c r="J66" s="281"/>
      <c r="K66" s="281"/>
      <c r="L66" s="281"/>
      <c r="M66" s="281"/>
      <c r="N66" s="281"/>
    </row>
    <row r="67" spans="1:20" ht="56.25" customHeight="1" x14ac:dyDescent="0.25">
      <c r="A67" s="21"/>
      <c r="B67" s="134">
        <f>B66/B31</f>
        <v>0.20601069182586287</v>
      </c>
      <c r="C67" s="135">
        <f>C66/C31</f>
        <v>0.16025397875212735</v>
      </c>
      <c r="D67" s="135">
        <f>D66/D31</f>
        <v>0.10026514470122244</v>
      </c>
      <c r="E67" s="136">
        <f>E66/E31</f>
        <v>3.3159504254900274E-2</v>
      </c>
      <c r="G67" s="281" t="s">
        <v>116</v>
      </c>
      <c r="H67" s="281"/>
      <c r="I67" s="281"/>
      <c r="J67" s="281"/>
      <c r="K67" s="281"/>
      <c r="L67" s="281"/>
      <c r="M67" s="281"/>
      <c r="N67" s="281"/>
      <c r="Q67" s="21"/>
      <c r="R67" s="21"/>
      <c r="S67" s="21"/>
      <c r="T67" s="21"/>
    </row>
    <row r="68" spans="1:20" x14ac:dyDescent="0.25">
      <c r="B68" s="58"/>
      <c r="C68" s="58"/>
      <c r="D68" s="58"/>
      <c r="E68" s="58"/>
      <c r="G68" s="126"/>
      <c r="H68" s="126"/>
      <c r="I68" s="126"/>
      <c r="J68" s="126"/>
      <c r="K68" s="126"/>
      <c r="L68" s="126"/>
      <c r="M68" s="126"/>
      <c r="N68" s="126"/>
      <c r="Q68" s="21"/>
      <c r="R68" s="21"/>
      <c r="S68" s="21"/>
      <c r="T68" s="21"/>
    </row>
    <row r="69" spans="1:20" ht="18.75" x14ac:dyDescent="0.25">
      <c r="B69" s="137" t="s">
        <v>132</v>
      </c>
      <c r="C69" s="58"/>
      <c r="D69" s="58"/>
      <c r="E69" s="58"/>
      <c r="G69" s="126"/>
      <c r="H69" s="126"/>
      <c r="I69" s="126"/>
      <c r="J69" s="126"/>
      <c r="K69" s="126"/>
      <c r="L69" s="126"/>
      <c r="M69" s="126"/>
      <c r="N69" s="126"/>
    </row>
    <row r="70" spans="1:20" x14ac:dyDescent="0.25">
      <c r="B70" s="58"/>
      <c r="C70" s="58"/>
      <c r="D70" s="58"/>
      <c r="E70" s="58"/>
      <c r="G70" s="126"/>
      <c r="H70" s="126"/>
      <c r="I70" s="126"/>
      <c r="J70" s="126"/>
      <c r="K70" s="126"/>
      <c r="L70" s="126"/>
      <c r="M70" s="126"/>
      <c r="N70" s="126"/>
    </row>
    <row r="71" spans="1:20" x14ac:dyDescent="0.25">
      <c r="B71" s="139">
        <v>2015</v>
      </c>
      <c r="C71" s="140">
        <v>2025</v>
      </c>
      <c r="D71" s="140">
        <v>2035</v>
      </c>
      <c r="E71" s="141">
        <v>2050</v>
      </c>
      <c r="G71" s="126"/>
      <c r="H71" s="126"/>
      <c r="I71" s="126"/>
      <c r="J71" s="126"/>
      <c r="K71" s="126"/>
      <c r="L71" s="126"/>
      <c r="M71" s="126"/>
      <c r="N71" s="126"/>
    </row>
    <row r="72" spans="1:20" ht="56.25" customHeight="1" x14ac:dyDescent="0.25">
      <c r="B72" s="155" t="e">
        <f ca="1">'1.Current Heat'!B24</f>
        <v>#DIV/0!</v>
      </c>
      <c r="C72" s="156" t="e">
        <f ca="1">C49*($B$72-$B$46)+(1-C49)*$B$72</f>
        <v>#DIV/0!</v>
      </c>
      <c r="D72" s="156" t="e">
        <f ca="1">D49*($B$72-$B$46)+(1-D49)*$B$72</f>
        <v>#DIV/0!</v>
      </c>
      <c r="E72" s="157" t="e">
        <f ca="1">E49*($B$72-$B$46)+(1-E49)*$B$72</f>
        <v>#DIV/0!</v>
      </c>
      <c r="G72" s="280" t="s">
        <v>134</v>
      </c>
      <c r="H72" s="280"/>
      <c r="I72" s="280"/>
      <c r="J72" s="280"/>
      <c r="K72" s="280"/>
      <c r="L72" s="280"/>
      <c r="M72" s="280"/>
      <c r="N72" s="280"/>
    </row>
    <row r="73" spans="1:20" ht="56.25" customHeight="1" x14ac:dyDescent="0.25">
      <c r="B73" s="149">
        <f>('LEAP Region'!T4+'LEAP Region'!T5+'LEAP Region'!T9)*1000</f>
        <v>0</v>
      </c>
      <c r="C73" s="150">
        <f>('LEAP Region'!U4+'LEAP Region'!U5+'LEAP Region'!U9)*1000</f>
        <v>0</v>
      </c>
      <c r="D73" s="150">
        <f>('LEAP Region'!V4+'LEAP Region'!V5+'LEAP Region'!V9)*1000</f>
        <v>0</v>
      </c>
      <c r="E73" s="151">
        <f>('LEAP Region'!W4+'LEAP Region'!W5+'LEAP Region'!W9)*1000</f>
        <v>0</v>
      </c>
      <c r="G73" s="281" t="s">
        <v>133</v>
      </c>
      <c r="H73" s="281"/>
      <c r="I73" s="281"/>
      <c r="J73" s="281"/>
      <c r="K73" s="281"/>
      <c r="L73" s="281"/>
      <c r="M73" s="281"/>
      <c r="N73" s="281"/>
    </row>
    <row r="74" spans="1:20" ht="56.25" customHeight="1" x14ac:dyDescent="0.25">
      <c r="B74" s="158" t="e">
        <f ca="1">com_share_state_target*'LEAP Statewide'!T4*1000/'2.Heat Targets'!B73</f>
        <v>#DIV/0!</v>
      </c>
      <c r="C74" s="145" t="e">
        <f ca="1">com_share_state_target*'LEAP Statewide'!U4*1000/'2.Heat Targets'!C73</f>
        <v>#DIV/0!</v>
      </c>
      <c r="D74" s="145" t="e">
        <f ca="1">com_share_state_target*'LEAP Statewide'!V4*1000/'2.Heat Targets'!D73</f>
        <v>#DIV/0!</v>
      </c>
      <c r="E74" s="159" t="e">
        <f ca="1">com_share_state_target*'LEAP Statewide'!W4*1000/'2.Heat Targets'!E73</f>
        <v>#DIV/0!</v>
      </c>
      <c r="G74" s="281" t="s">
        <v>136</v>
      </c>
      <c r="H74" s="281"/>
      <c r="I74" s="281"/>
      <c r="J74" s="281"/>
      <c r="K74" s="281"/>
      <c r="L74" s="281"/>
      <c r="M74" s="281"/>
      <c r="N74" s="281"/>
    </row>
    <row r="75" spans="1:20" ht="56.25" customHeight="1" x14ac:dyDescent="0.25">
      <c r="B75" s="128" t="e">
        <f ca="1">B73/B72</f>
        <v>#DIV/0!</v>
      </c>
      <c r="C75" s="129" t="e">
        <f ca="1">C73/C72</f>
        <v>#DIV/0!</v>
      </c>
      <c r="D75" s="129" t="e">
        <f ca="1">D73/D72</f>
        <v>#DIV/0!</v>
      </c>
      <c r="E75" s="130" t="e">
        <f ca="1">E73/E72</f>
        <v>#DIV/0!</v>
      </c>
      <c r="G75" s="281" t="s">
        <v>135</v>
      </c>
      <c r="H75" s="281"/>
      <c r="I75" s="281"/>
      <c r="J75" s="281"/>
      <c r="K75" s="281"/>
      <c r="L75" s="281"/>
      <c r="M75" s="281"/>
      <c r="N75" s="281"/>
    </row>
    <row r="76" spans="1:20" ht="56.25" customHeight="1" x14ac:dyDescent="0.25">
      <c r="B76" s="134" t="e">
        <f ca="1">B75/B48</f>
        <v>#DIV/0!</v>
      </c>
      <c r="C76" s="135" t="e">
        <f ca="1">C75/C48</f>
        <v>#DIV/0!</v>
      </c>
      <c r="D76" s="135" t="e">
        <f ca="1">D75/D48</f>
        <v>#DIV/0!</v>
      </c>
      <c r="E76" s="136" t="e">
        <f ca="1">E75/E48</f>
        <v>#DIV/0!</v>
      </c>
      <c r="G76" s="281" t="s">
        <v>181</v>
      </c>
      <c r="H76" s="281"/>
      <c r="I76" s="281"/>
      <c r="J76" s="281"/>
      <c r="K76" s="281"/>
      <c r="L76" s="281"/>
      <c r="M76" s="281"/>
      <c r="N76" s="281"/>
    </row>
    <row r="77" spans="1:20" ht="56.25" customHeight="1" x14ac:dyDescent="0.25">
      <c r="B77" s="128">
        <f>'LEAP Region'!T10*1000</f>
        <v>0</v>
      </c>
      <c r="C77" s="129">
        <f>'LEAP Region'!U10*1000</f>
        <v>0</v>
      </c>
      <c r="D77" s="129">
        <f>'LEAP Region'!V10*1000</f>
        <v>0</v>
      </c>
      <c r="E77" s="130">
        <f>'LEAP Region'!W10*1000</f>
        <v>0</v>
      </c>
      <c r="G77" s="281" t="s">
        <v>138</v>
      </c>
      <c r="H77" s="281"/>
      <c r="I77" s="281"/>
      <c r="J77" s="281"/>
      <c r="K77" s="281"/>
      <c r="L77" s="281"/>
      <c r="M77" s="281"/>
      <c r="N77" s="281"/>
    </row>
    <row r="78" spans="1:20" ht="56.25" customHeight="1" x14ac:dyDescent="0.25">
      <c r="B78" s="128" t="e">
        <f ca="1">B77/B72</f>
        <v>#DIV/0!</v>
      </c>
      <c r="C78" s="129" t="e">
        <f ca="1">C77/C72</f>
        <v>#DIV/0!</v>
      </c>
      <c r="D78" s="129" t="e">
        <f ca="1">D77/D72</f>
        <v>#DIV/0!</v>
      </c>
      <c r="E78" s="130" t="e">
        <f ca="1">E77/E72</f>
        <v>#DIV/0!</v>
      </c>
      <c r="G78" s="281" t="s">
        <v>139</v>
      </c>
      <c r="H78" s="281"/>
      <c r="I78" s="281"/>
      <c r="J78" s="281"/>
      <c r="K78" s="281"/>
      <c r="L78" s="281"/>
      <c r="M78" s="281"/>
      <c r="N78" s="281"/>
    </row>
    <row r="79" spans="1:20" ht="56.25" customHeight="1" x14ac:dyDescent="0.25">
      <c r="B79" s="134" t="e">
        <f ca="1">B78/B48</f>
        <v>#DIV/0!</v>
      </c>
      <c r="C79" s="135" t="e">
        <f ca="1">C78/C48</f>
        <v>#DIV/0!</v>
      </c>
      <c r="D79" s="135" t="e">
        <f ca="1">D78/D48</f>
        <v>#DIV/0!</v>
      </c>
      <c r="E79" s="136" t="e">
        <f ca="1">E78/E48</f>
        <v>#DIV/0!</v>
      </c>
      <c r="G79" s="281" t="s">
        <v>141</v>
      </c>
      <c r="H79" s="281"/>
      <c r="I79" s="281"/>
      <c r="J79" s="281"/>
      <c r="K79" s="281"/>
      <c r="L79" s="281"/>
      <c r="M79" s="281"/>
      <c r="N79" s="281"/>
    </row>
    <row r="80" spans="1:20" ht="56.25" customHeight="1" x14ac:dyDescent="0.25">
      <c r="B80" s="149">
        <f>B43</f>
        <v>0</v>
      </c>
      <c r="C80" s="150">
        <f>C43</f>
        <v>0</v>
      </c>
      <c r="D80" s="150">
        <f>D43</f>
        <v>0</v>
      </c>
      <c r="E80" s="151">
        <f>E43</f>
        <v>0</v>
      </c>
      <c r="G80" s="281" t="s">
        <v>142</v>
      </c>
      <c r="H80" s="281"/>
      <c r="I80" s="281"/>
      <c r="J80" s="281"/>
      <c r="K80" s="281"/>
      <c r="L80" s="281"/>
      <c r="M80" s="281"/>
      <c r="N80" s="281"/>
    </row>
    <row r="81" spans="2:14" ht="56.25" customHeight="1" x14ac:dyDescent="0.25">
      <c r="B81" s="128" t="e">
        <f ca="1">B80/((0.7*B72)/2.4)</f>
        <v>#DIV/0!</v>
      </c>
      <c r="C81" s="129" t="e">
        <f ca="1">C80/((0.75*C72)/2.6)</f>
        <v>#DIV/0!</v>
      </c>
      <c r="D81" s="129" t="e">
        <f ca="1">D80/((0.8*D72)/2.8)</f>
        <v>#DIV/0!</v>
      </c>
      <c r="E81" s="130" t="e">
        <f ca="1">E80/((0.85*E72)/3)</f>
        <v>#DIV/0!</v>
      </c>
      <c r="G81" s="281" t="s">
        <v>143</v>
      </c>
      <c r="H81" s="281"/>
      <c r="I81" s="281"/>
      <c r="J81" s="281"/>
      <c r="K81" s="281"/>
      <c r="L81" s="281"/>
      <c r="M81" s="281"/>
      <c r="N81" s="281"/>
    </row>
    <row r="82" spans="2:14" ht="56.25" customHeight="1" x14ac:dyDescent="0.25">
      <c r="B82" s="134" t="e">
        <f ca="1">B81/B48</f>
        <v>#DIV/0!</v>
      </c>
      <c r="C82" s="135" t="e">
        <f ca="1">C81/C48</f>
        <v>#DIV/0!</v>
      </c>
      <c r="D82" s="135" t="e">
        <f ca="1">D81/D48</f>
        <v>#DIV/0!</v>
      </c>
      <c r="E82" s="136" t="e">
        <f ca="1">E81/E48</f>
        <v>#DIV/0!</v>
      </c>
      <c r="G82" s="281" t="s">
        <v>144</v>
      </c>
      <c r="H82" s="281"/>
      <c r="I82" s="281"/>
      <c r="J82" s="281"/>
      <c r="K82" s="281"/>
      <c r="L82" s="281"/>
      <c r="M82" s="281"/>
      <c r="N82" s="281"/>
    </row>
    <row r="83" spans="2:14" ht="56.25" customHeight="1" x14ac:dyDescent="0.25">
      <c r="B83" s="149">
        <f>('LEAP Region'!T7+'LEAP Region'!T8)*1000</f>
        <v>0</v>
      </c>
      <c r="C83" s="150">
        <f>('LEAP Region'!U7+'LEAP Region'!U8)*1000</f>
        <v>0</v>
      </c>
      <c r="D83" s="150">
        <f>('LEAP Region'!V7+'LEAP Region'!V8)*1000</f>
        <v>0</v>
      </c>
      <c r="E83" s="151">
        <f>('LEAP Region'!W7+'LEAP Region'!W8)*1000</f>
        <v>0</v>
      </c>
      <c r="G83" s="281" t="s">
        <v>145</v>
      </c>
      <c r="H83" s="281"/>
      <c r="I83" s="281"/>
      <c r="J83" s="281"/>
      <c r="K83" s="281"/>
      <c r="L83" s="281"/>
      <c r="M83" s="281"/>
      <c r="N83" s="281"/>
    </row>
    <row r="84" spans="2:14" ht="56.25" customHeight="1" x14ac:dyDescent="0.25">
      <c r="B84" s="128" t="e">
        <f ca="1">B83/B72</f>
        <v>#DIV/0!</v>
      </c>
      <c r="C84" s="129" t="e">
        <f ca="1">C83/C72</f>
        <v>#DIV/0!</v>
      </c>
      <c r="D84" s="129" t="e">
        <f ca="1">D83/D72</f>
        <v>#DIV/0!</v>
      </c>
      <c r="E84" s="130" t="e">
        <f ca="1">E83/E72</f>
        <v>#DIV/0!</v>
      </c>
      <c r="G84" s="281" t="s">
        <v>147</v>
      </c>
      <c r="H84" s="281"/>
      <c r="I84" s="281"/>
      <c r="J84" s="281"/>
      <c r="K84" s="281"/>
      <c r="L84" s="281"/>
      <c r="M84" s="281"/>
      <c r="N84" s="281"/>
    </row>
    <row r="85" spans="2:14" ht="56.25" customHeight="1" x14ac:dyDescent="0.25">
      <c r="B85" s="134" t="e">
        <f ca="1">B84/B48</f>
        <v>#DIV/0!</v>
      </c>
      <c r="C85" s="135" t="e">
        <f ca="1">C84/C48</f>
        <v>#DIV/0!</v>
      </c>
      <c r="D85" s="135" t="e">
        <f ca="1">D84/D48</f>
        <v>#DIV/0!</v>
      </c>
      <c r="E85" s="136" t="e">
        <f ca="1">E84/E48</f>
        <v>#DIV/0!</v>
      </c>
      <c r="G85" s="281" t="s">
        <v>148</v>
      </c>
      <c r="H85" s="281"/>
      <c r="I85" s="281"/>
      <c r="J85" s="281"/>
      <c r="K85" s="281"/>
      <c r="L85" s="281"/>
      <c r="M85" s="281"/>
      <c r="N85" s="281"/>
    </row>
    <row r="87" spans="2:14" x14ac:dyDescent="0.25">
      <c r="B87" s="24"/>
      <c r="C87" s="24"/>
      <c r="D87" s="24"/>
      <c r="E87" s="24"/>
    </row>
    <row r="89" spans="2:14" x14ac:dyDescent="0.25">
      <c r="B89" s="21"/>
      <c r="C89" s="21"/>
      <c r="D89" s="21"/>
      <c r="E89" s="21"/>
    </row>
  </sheetData>
  <mergeCells count="56">
    <mergeCell ref="B29:E29"/>
    <mergeCell ref="B46:E46"/>
    <mergeCell ref="B4:N6"/>
    <mergeCell ref="M11:O12"/>
    <mergeCell ref="M17:O18"/>
    <mergeCell ref="M14:O15"/>
    <mergeCell ref="G45:N45"/>
    <mergeCell ref="G44:N44"/>
    <mergeCell ref="G43:N43"/>
    <mergeCell ref="G42:N42"/>
    <mergeCell ref="G41:N41"/>
    <mergeCell ref="G40:N40"/>
    <mergeCell ref="G39:N39"/>
    <mergeCell ref="G38:N38"/>
    <mergeCell ref="G37:N37"/>
    <mergeCell ref="G28:N28"/>
    <mergeCell ref="G58:N58"/>
    <mergeCell ref="G59:N59"/>
    <mergeCell ref="G57:N57"/>
    <mergeCell ref="G56:N56"/>
    <mergeCell ref="G55:N55"/>
    <mergeCell ref="G54:N54"/>
    <mergeCell ref="G49:N49"/>
    <mergeCell ref="G48:N48"/>
    <mergeCell ref="G47:N47"/>
    <mergeCell ref="G46:N46"/>
    <mergeCell ref="G27:N27"/>
    <mergeCell ref="G26:N26"/>
    <mergeCell ref="G25:N25"/>
    <mergeCell ref="G24:N24"/>
    <mergeCell ref="G67:N67"/>
    <mergeCell ref="G66:N66"/>
    <mergeCell ref="G65:N65"/>
    <mergeCell ref="G64:N64"/>
    <mergeCell ref="G63:N63"/>
    <mergeCell ref="G62:N62"/>
    <mergeCell ref="G61:N61"/>
    <mergeCell ref="G60:N60"/>
    <mergeCell ref="G32:N32"/>
    <mergeCell ref="G31:N31"/>
    <mergeCell ref="G30:N30"/>
    <mergeCell ref="G29:N29"/>
    <mergeCell ref="G72:N72"/>
    <mergeCell ref="G73:N73"/>
    <mergeCell ref="G84:N84"/>
    <mergeCell ref="G85:N85"/>
    <mergeCell ref="G83:N83"/>
    <mergeCell ref="G82:N82"/>
    <mergeCell ref="G81:N81"/>
    <mergeCell ref="G80:N80"/>
    <mergeCell ref="G79:N79"/>
    <mergeCell ref="G78:N78"/>
    <mergeCell ref="G77:N77"/>
    <mergeCell ref="G76:N76"/>
    <mergeCell ref="G74:N74"/>
    <mergeCell ref="G75:N75"/>
  </mergeCells>
  <pageMargins left="0.7" right="0.7" top="0.75" bottom="0.75" header="0.3" footer="0.3"/>
  <pageSetup orientation="portrait" horizontalDpi="20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9"/>
  <sheetViews>
    <sheetView topLeftCell="A17" zoomScale="70" zoomScaleNormal="70" workbookViewId="0">
      <selection activeCell="F27" sqref="F27"/>
    </sheetView>
  </sheetViews>
  <sheetFormatPr defaultRowHeight="15" x14ac:dyDescent="0.25"/>
  <cols>
    <col min="1" max="1" width="5.28515625" customWidth="1"/>
    <col min="2" max="20" width="12" customWidth="1"/>
  </cols>
  <sheetData>
    <row r="2" spans="2:15" ht="21" x14ac:dyDescent="0.35">
      <c r="B2" s="52" t="s">
        <v>503</v>
      </c>
    </row>
    <row r="3" spans="2:15" ht="21" x14ac:dyDescent="0.35">
      <c r="B3" s="52"/>
    </row>
    <row r="4" spans="2:15" ht="22.5" customHeight="1" x14ac:dyDescent="0.25">
      <c r="B4" s="288" t="s">
        <v>504</v>
      </c>
      <c r="C4" s="289"/>
      <c r="D4" s="289"/>
      <c r="E4" s="289"/>
      <c r="F4" s="289"/>
      <c r="G4" s="289"/>
      <c r="H4" s="289"/>
      <c r="I4" s="289"/>
      <c r="J4" s="289"/>
      <c r="K4" s="289"/>
      <c r="L4" s="289"/>
      <c r="M4" s="289"/>
      <c r="N4" s="290"/>
    </row>
    <row r="5" spans="2:15" ht="22.5" customHeight="1" x14ac:dyDescent="0.25">
      <c r="B5" s="291"/>
      <c r="C5" s="292"/>
      <c r="D5" s="292"/>
      <c r="E5" s="292"/>
      <c r="F5" s="292"/>
      <c r="G5" s="292"/>
      <c r="H5" s="292"/>
      <c r="I5" s="292"/>
      <c r="J5" s="292"/>
      <c r="K5" s="292"/>
      <c r="L5" s="292"/>
      <c r="M5" s="292"/>
      <c r="N5" s="293"/>
    </row>
    <row r="6" spans="2:15" ht="22.5" customHeight="1" x14ac:dyDescent="0.25">
      <c r="B6" s="294"/>
      <c r="C6" s="295"/>
      <c r="D6" s="295"/>
      <c r="E6" s="295"/>
      <c r="F6" s="295"/>
      <c r="G6" s="295"/>
      <c r="H6" s="295"/>
      <c r="I6" s="295"/>
      <c r="J6" s="295"/>
      <c r="K6" s="295"/>
      <c r="L6" s="295"/>
      <c r="M6" s="295"/>
      <c r="N6" s="296"/>
    </row>
    <row r="8" spans="2:15" ht="18.75" x14ac:dyDescent="0.3">
      <c r="B8" s="51" t="s">
        <v>101</v>
      </c>
    </row>
    <row r="10" spans="2:15" x14ac:dyDescent="0.25">
      <c r="B10" s="68">
        <v>100</v>
      </c>
      <c r="C10" s="69" t="s">
        <v>104</v>
      </c>
      <c r="D10" s="69"/>
      <c r="E10" s="69"/>
      <c r="F10" s="69"/>
      <c r="G10" s="69"/>
      <c r="H10" s="69"/>
      <c r="I10" s="69"/>
      <c r="J10" s="69"/>
      <c r="K10" s="70"/>
    </row>
    <row r="11" spans="2:15" x14ac:dyDescent="0.25">
      <c r="B11" s="73">
        <v>300</v>
      </c>
      <c r="C11" s="74" t="s">
        <v>102</v>
      </c>
      <c r="D11" s="74"/>
      <c r="E11" s="74"/>
      <c r="F11" s="74"/>
      <c r="G11" s="74"/>
      <c r="H11" s="74"/>
      <c r="I11" s="74"/>
      <c r="J11" s="74"/>
      <c r="K11" s="75"/>
      <c r="M11" s="297" t="s">
        <v>151</v>
      </c>
      <c r="N11" s="298"/>
      <c r="O11" s="299"/>
    </row>
    <row r="12" spans="2:15" x14ac:dyDescent="0.25">
      <c r="B12" s="1">
        <v>100</v>
      </c>
      <c r="C12" s="2" t="s">
        <v>103</v>
      </c>
      <c r="D12" s="2"/>
      <c r="E12" s="2"/>
      <c r="F12" s="2"/>
      <c r="G12" s="2"/>
      <c r="H12" s="2"/>
      <c r="I12" s="2"/>
      <c r="J12" s="2"/>
      <c r="K12" s="3"/>
      <c r="M12" s="300"/>
      <c r="N12" s="301"/>
      <c r="O12" s="302"/>
    </row>
    <row r="13" spans="2:15" x14ac:dyDescent="0.25">
      <c r="B13" s="6">
        <v>33</v>
      </c>
      <c r="C13" s="71" t="s">
        <v>105</v>
      </c>
      <c r="D13" s="71"/>
      <c r="E13" s="71"/>
      <c r="F13" s="71"/>
      <c r="G13" s="71"/>
      <c r="H13" s="71"/>
      <c r="I13" s="71"/>
      <c r="J13" s="71"/>
      <c r="K13" s="72"/>
    </row>
    <row r="14" spans="2:15" x14ac:dyDescent="0.25">
      <c r="B14" s="2"/>
      <c r="C14" s="2"/>
      <c r="D14" s="2"/>
      <c r="E14" s="2"/>
      <c r="F14" s="2"/>
      <c r="G14" s="2"/>
      <c r="H14" s="2"/>
      <c r="I14" s="2"/>
      <c r="J14" s="2"/>
      <c r="K14" s="2"/>
    </row>
    <row r="15" spans="2:15" ht="18.75" x14ac:dyDescent="0.3">
      <c r="B15" s="51" t="s">
        <v>152</v>
      </c>
    </row>
    <row r="17" spans="2:22" x14ac:dyDescent="0.25">
      <c r="B17" s="77">
        <v>2015</v>
      </c>
      <c r="C17" s="78">
        <v>2025</v>
      </c>
      <c r="D17" s="78">
        <v>2035</v>
      </c>
      <c r="E17" s="79">
        <v>2050</v>
      </c>
    </row>
    <row r="18" spans="2:22" ht="54.75" customHeight="1" x14ac:dyDescent="0.25">
      <c r="B18" s="128">
        <f>'LEAP Region'!H26*1000</f>
        <v>3.9069767441860463</v>
      </c>
      <c r="C18" s="129">
        <f>'LEAP Region'!I26*1000</f>
        <v>106.7906976744186</v>
      </c>
      <c r="D18" s="129">
        <f>'LEAP Region'!J26*1000</f>
        <v>309.95348837209303</v>
      </c>
      <c r="E18" s="130">
        <f>'LEAP Region'!K26*1000</f>
        <v>600.37209302325573</v>
      </c>
      <c r="G18" s="281" t="s">
        <v>474</v>
      </c>
      <c r="H18" s="281"/>
      <c r="I18" s="281"/>
      <c r="J18" s="281"/>
      <c r="K18" s="281"/>
      <c r="L18" s="281"/>
      <c r="M18" s="281"/>
      <c r="N18" s="281"/>
      <c r="V18" t="s">
        <v>23</v>
      </c>
    </row>
    <row r="19" spans="2:22" ht="54.75" customHeight="1" x14ac:dyDescent="0.25">
      <c r="B19" s="128">
        <f>('1.Current Trans'!$B$13/'1.Current Trans'!$B$35)*'1.Current Trans'!$B$37/1000000</f>
        <v>15.922666666666668</v>
      </c>
      <c r="C19" s="129">
        <f>B19-(($B$19-$E$19)/3)</f>
        <v>14.595777777777778</v>
      </c>
      <c r="D19" s="129">
        <f>C19-(($B$19-$E$19)/3)</f>
        <v>13.268888888888888</v>
      </c>
      <c r="E19" s="130">
        <f>('1.Current Trans'!$B$13/4)*'1.Current Trans'!$B$37/1000000</f>
        <v>11.942</v>
      </c>
      <c r="G19" s="281" t="s">
        <v>190</v>
      </c>
      <c r="H19" s="281"/>
      <c r="I19" s="281"/>
      <c r="J19" s="281"/>
      <c r="K19" s="281"/>
      <c r="L19" s="281"/>
      <c r="M19" s="281"/>
      <c r="N19" s="281"/>
      <c r="V19" t="s">
        <v>547</v>
      </c>
    </row>
    <row r="20" spans="2:22" ht="54.75" customHeight="1" x14ac:dyDescent="0.25">
      <c r="B20" s="128">
        <f>IF($F$22="adj",'1.Current Trans'!$O$13*B18/B19,B18/B19)</f>
        <v>0.27481665258049565</v>
      </c>
      <c r="C20" s="129">
        <f>IF($F$22="adj",'1.Current Trans'!$O$13*C18/C19,C18/C19)</f>
        <v>8.1945329133093239</v>
      </c>
      <c r="D20" s="129">
        <f>IF($F$22="adj",'1.Current Trans'!$O$13*D18/D19,D18/D19)</f>
        <v>26.162545325663192</v>
      </c>
      <c r="E20" s="130">
        <f>IF($F$22="adj",'1.Current Trans'!$O$13*E18/E19,E18/E19)</f>
        <v>56.306878595381548</v>
      </c>
      <c r="G20" s="303" t="s">
        <v>106</v>
      </c>
      <c r="H20" s="303"/>
      <c r="I20" s="303"/>
      <c r="J20" s="303"/>
      <c r="K20" s="303"/>
      <c r="L20" s="303"/>
      <c r="M20" s="303"/>
      <c r="N20" s="303"/>
    </row>
    <row r="21" spans="2:22" ht="54.75" customHeight="1" x14ac:dyDescent="0.25">
      <c r="B21" s="131">
        <f>'1.Current Trans'!B9+'1.Current Trans'!B32</f>
        <v>77</v>
      </c>
      <c r="C21" s="132">
        <f>B21*1.125</f>
        <v>86.625</v>
      </c>
      <c r="D21" s="132">
        <f t="shared" ref="D21:E21" si="0">C21*1.125</f>
        <v>97.453125</v>
      </c>
      <c r="E21" s="133">
        <f t="shared" si="0"/>
        <v>109.634765625</v>
      </c>
      <c r="G21" s="303" t="s">
        <v>189</v>
      </c>
      <c r="H21" s="303"/>
      <c r="I21" s="303"/>
      <c r="J21" s="303"/>
      <c r="K21" s="303"/>
      <c r="L21" s="303"/>
      <c r="M21" s="303"/>
      <c r="N21" s="303"/>
      <c r="O21" s="186">
        <f>(E21/B21)^(1/(E17-B17))-1</f>
        <v>1.014682216717655E-2</v>
      </c>
    </row>
    <row r="22" spans="2:22" ht="54.75" customHeight="1" x14ac:dyDescent="0.25">
      <c r="B22" s="134">
        <f>B20/B21</f>
        <v>3.5690474361103333E-3</v>
      </c>
      <c r="C22" s="135">
        <f>C20/C21</f>
        <v>9.4597782549025386E-2</v>
      </c>
      <c r="D22" s="135">
        <f>D20/D21</f>
        <v>0.2684628668979388</v>
      </c>
      <c r="E22" s="136">
        <f>E20/E21</f>
        <v>0.51358598045419546</v>
      </c>
      <c r="F22" s="54" t="s">
        <v>545</v>
      </c>
      <c r="G22" s="303" t="s">
        <v>191</v>
      </c>
      <c r="H22" s="303"/>
      <c r="I22" s="303"/>
      <c r="J22" s="303"/>
      <c r="K22" s="303"/>
      <c r="L22" s="303"/>
      <c r="M22" s="303"/>
      <c r="N22" s="303"/>
    </row>
    <row r="23" spans="2:22" ht="54.75" customHeight="1" x14ac:dyDescent="0.25">
      <c r="B23" s="166">
        <f>('LEAP Region'!H24+'LEAP Region'!H25+'LEAP Region'!H27+'LEAP Region'!H28)*1000</f>
        <v>4452.6511627906966</v>
      </c>
      <c r="C23" s="167">
        <f>('LEAP Region'!I24+'LEAP Region'!I25+'LEAP Region'!I27+'LEAP Region'!I28)*1000</f>
        <v>3194.6046511627906</v>
      </c>
      <c r="D23" s="167">
        <f>('LEAP Region'!J24+'LEAP Region'!J25+'LEAP Region'!J27+'LEAP Region'!J28)*1000</f>
        <v>1824.5581395348836</v>
      </c>
      <c r="E23" s="168">
        <f>('LEAP Region'!K24+'LEAP Region'!K25+'LEAP Region'!K27+'LEAP Region'!K28)*1000</f>
        <v>253.95348837209303</v>
      </c>
      <c r="G23" s="281" t="s">
        <v>470</v>
      </c>
      <c r="H23" s="281"/>
      <c r="I23" s="281"/>
      <c r="J23" s="281"/>
      <c r="K23" s="281"/>
      <c r="L23" s="281"/>
      <c r="M23" s="281"/>
      <c r="N23" s="281"/>
    </row>
    <row r="24" spans="2:22" ht="54.75" customHeight="1" x14ac:dyDescent="0.25">
      <c r="B24" s="158">
        <f>res_share_state_target*('LEAP Statewide'!H25+'LEAP Statewide'!H28)*1000000/'2.Trans Targets'!B23</f>
        <v>0.12047528891144013</v>
      </c>
      <c r="C24" s="145">
        <f>res_share_state_target*('LEAP Statewide'!I25+'LEAP Statewide'!I28)*1000000/'2.Trans Targets'!C23</f>
        <v>0.12593916004531608</v>
      </c>
      <c r="D24" s="145">
        <f>res_share_state_target*('LEAP Statewide'!J25+'LEAP Statewide'!J28)*1000000/'2.Trans Targets'!D23</f>
        <v>0.1470039303312683</v>
      </c>
      <c r="E24" s="159">
        <f>res_share_state_target*('LEAP Statewide'!K25+'LEAP Statewide'!K28)*1000000/'2.Trans Targets'!E23</f>
        <v>0.52808334972847903</v>
      </c>
      <c r="G24" s="281" t="s">
        <v>192</v>
      </c>
      <c r="H24" s="281"/>
      <c r="I24" s="281"/>
      <c r="J24" s="281"/>
      <c r="K24" s="281"/>
      <c r="L24" s="281"/>
      <c r="M24" s="281"/>
      <c r="N24" s="281"/>
    </row>
    <row r="25" spans="2:22" ht="54.75" customHeight="1" x14ac:dyDescent="0.25">
      <c r="B25" s="128">
        <f>'1.Current Trans'!B26/'1.Current Trans'!B9</f>
        <v>75.071267727272726</v>
      </c>
      <c r="C25" s="129">
        <f>B25-(($B$25-$E$25)/3)</f>
        <v>64.194336818181824</v>
      </c>
      <c r="D25" s="129">
        <f>C25-(($B$25-$E$25)/3)</f>
        <v>53.317405909090915</v>
      </c>
      <c r="E25" s="169">
        <f>('1.Current Trans'!B9*'1.Current Trans'!B13/40)*'1.Current Trans'!B21/'1.Current Trans'!B9/1000000</f>
        <v>42.440474999999999</v>
      </c>
      <c r="G25" s="281" t="s">
        <v>193</v>
      </c>
      <c r="H25" s="281"/>
      <c r="I25" s="281"/>
      <c r="J25" s="281"/>
      <c r="K25" s="281"/>
      <c r="L25" s="281"/>
      <c r="M25" s="281"/>
      <c r="N25" s="281"/>
    </row>
    <row r="26" spans="2:22" ht="54.75" customHeight="1" x14ac:dyDescent="0.25">
      <c r="B26" s="128">
        <f>IF($F$22="adj",'1.Current Trans'!$O$13*B23/B25,B23/B25)</f>
        <v>66.429800019400219</v>
      </c>
      <c r="C26" s="129">
        <f>IF($F$22="adj",'1.Current Trans'!$O$13*C23/C25,C23/C25)</f>
        <v>55.736337294615332</v>
      </c>
      <c r="D26" s="129">
        <f>IF($F$22="adj",'1.Current Trans'!$O$13*D23/D25,D23/D25)</f>
        <v>38.327166924875478</v>
      </c>
      <c r="E26" s="130">
        <f>IF($F$22="adj",'1.Current Trans'!$O$13*E23/E25,E23/E25)</f>
        <v>6.7018078138084984</v>
      </c>
      <c r="G26" s="303" t="s">
        <v>107</v>
      </c>
      <c r="H26" s="303"/>
      <c r="I26" s="303"/>
      <c r="J26" s="303"/>
      <c r="K26" s="303"/>
      <c r="L26" s="303"/>
      <c r="M26" s="303"/>
      <c r="N26" s="303"/>
    </row>
    <row r="27" spans="2:22" ht="54.75" customHeight="1" x14ac:dyDescent="0.25">
      <c r="B27" s="134">
        <f>B26/B21</f>
        <v>0.86272467557662624</v>
      </c>
      <c r="C27" s="135">
        <f>C26/C21</f>
        <v>0.64342092114996052</v>
      </c>
      <c r="D27" s="135">
        <f>D26/D21</f>
        <v>0.39328822882668441</v>
      </c>
      <c r="E27" s="136">
        <f>E26/E21</f>
        <v>6.1128491273759661E-2</v>
      </c>
      <c r="G27" s="303" t="s">
        <v>108</v>
      </c>
      <c r="H27" s="303"/>
      <c r="I27" s="303"/>
      <c r="J27" s="303"/>
      <c r="K27" s="303"/>
      <c r="L27" s="303"/>
      <c r="M27" s="303"/>
      <c r="N27" s="303"/>
    </row>
    <row r="28" spans="2:22" x14ac:dyDescent="0.25">
      <c r="B28" s="76"/>
      <c r="C28" s="76"/>
      <c r="D28" s="76"/>
      <c r="E28" s="76"/>
    </row>
    <row r="29" spans="2:22" x14ac:dyDescent="0.25">
      <c r="B29" s="80"/>
      <c r="C29" s="80"/>
      <c r="D29" s="80"/>
      <c r="E29" s="80"/>
    </row>
  </sheetData>
  <mergeCells count="12">
    <mergeCell ref="B4:N6"/>
    <mergeCell ref="M11:O12"/>
    <mergeCell ref="G27:N27"/>
    <mergeCell ref="G26:N26"/>
    <mergeCell ref="G25:N25"/>
    <mergeCell ref="G24:N24"/>
    <mergeCell ref="G23:N23"/>
    <mergeCell ref="G22:N22"/>
    <mergeCell ref="G21:N21"/>
    <mergeCell ref="G20:N20"/>
    <mergeCell ref="G19:N19"/>
    <mergeCell ref="G18:N18"/>
  </mergeCells>
  <pageMargins left="0.7" right="0.7" top="0.75" bottom="0.75" header="0.3" footer="0.3"/>
  <ignoredErrors>
    <ignoredError sqref="B21"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7"/>
  <sheetViews>
    <sheetView zoomScale="70" zoomScaleNormal="70" workbookViewId="0">
      <selection activeCell="L17" sqref="L17:L19"/>
    </sheetView>
  </sheetViews>
  <sheetFormatPr defaultRowHeight="15" x14ac:dyDescent="0.25"/>
  <cols>
    <col min="1" max="1" width="4.28515625" customWidth="1"/>
    <col min="2" max="14" width="13.28515625" customWidth="1"/>
  </cols>
  <sheetData>
    <row r="2" spans="2:14" ht="21" x14ac:dyDescent="0.35">
      <c r="B2" s="52" t="s">
        <v>498</v>
      </c>
    </row>
    <row r="4" spans="2:14" x14ac:dyDescent="0.25">
      <c r="B4" s="77">
        <v>2015</v>
      </c>
      <c r="C4" s="78">
        <v>2025</v>
      </c>
      <c r="D4" s="78">
        <v>2035</v>
      </c>
      <c r="E4" s="79">
        <v>2050</v>
      </c>
    </row>
    <row r="5" spans="2:14" s="126" customFormat="1" ht="45" customHeight="1" x14ac:dyDescent="0.2">
      <c r="B5" s="171">
        <f>'LEAP Region'!B49*1000000</f>
        <v>15627.906976744185</v>
      </c>
      <c r="C5" s="172">
        <f>'LEAP Region'!C49*1000000</f>
        <v>72930.232558139527</v>
      </c>
      <c r="D5" s="172">
        <f>'LEAP Region'!D49*1000000</f>
        <v>114604.65116279069</v>
      </c>
      <c r="E5" s="173">
        <f>'LEAP Region'!E49*1000000</f>
        <v>167999.99999999997</v>
      </c>
      <c r="G5" s="281" t="s">
        <v>186</v>
      </c>
      <c r="H5" s="281"/>
      <c r="I5" s="281"/>
      <c r="J5" s="281"/>
      <c r="K5" s="281"/>
      <c r="L5" s="281"/>
      <c r="M5" s="281"/>
      <c r="N5" s="281"/>
    </row>
    <row r="6" spans="2:14" s="126" customFormat="1" ht="45" customHeight="1" x14ac:dyDescent="0.2">
      <c r="B6" s="304">
        <v>400</v>
      </c>
      <c r="C6" s="305"/>
      <c r="D6" s="305"/>
      <c r="E6" s="306"/>
      <c r="G6" s="281" t="s">
        <v>475</v>
      </c>
      <c r="H6" s="281"/>
      <c r="I6" s="281"/>
      <c r="J6" s="281"/>
      <c r="K6" s="281"/>
      <c r="L6" s="281"/>
      <c r="M6" s="281"/>
      <c r="N6" s="281"/>
    </row>
    <row r="7" spans="2:14" s="126" customFormat="1" ht="45" customHeight="1" x14ac:dyDescent="0.2">
      <c r="B7" s="171">
        <f>B5/13/$B$6</f>
        <v>3.005366726296959</v>
      </c>
      <c r="C7" s="172">
        <f>C5/13/$B$6</f>
        <v>14.025044722719139</v>
      </c>
      <c r="D7" s="172">
        <f>D5/13/$B$6</f>
        <v>22.039355992844364</v>
      </c>
      <c r="E7" s="172">
        <f>E5/13/$B$6</f>
        <v>32.307692307692299</v>
      </c>
      <c r="G7" s="281" t="s">
        <v>185</v>
      </c>
      <c r="H7" s="281"/>
      <c r="I7" s="281"/>
      <c r="J7" s="281"/>
      <c r="K7" s="281"/>
      <c r="L7" s="281"/>
      <c r="M7" s="281"/>
      <c r="N7" s="281"/>
    </row>
    <row r="8" spans="2:14" s="126" customFormat="1" ht="45" customHeight="1" x14ac:dyDescent="0.2">
      <c r="B8" s="36">
        <f>'2.Heat Targets'!B31*1.5</f>
        <v>54</v>
      </c>
      <c r="C8" s="36">
        <f>'2.Heat Targets'!C31*1.5</f>
        <v>57.240000000000009</v>
      </c>
      <c r="D8" s="36">
        <f>'2.Heat Targets'!D31*1.5</f>
        <v>60.674400000000006</v>
      </c>
      <c r="E8" s="36">
        <f>'2.Heat Targets'!E31*1.5</f>
        <v>64.314864000000014</v>
      </c>
      <c r="G8" s="281" t="s">
        <v>187</v>
      </c>
      <c r="H8" s="281"/>
      <c r="I8" s="281"/>
      <c r="J8" s="281"/>
      <c r="K8" s="281"/>
      <c r="L8" s="281"/>
      <c r="M8" s="281"/>
      <c r="N8" s="281"/>
    </row>
    <row r="9" spans="2:14" s="126" customFormat="1" ht="45" customHeight="1" x14ac:dyDescent="0.2">
      <c r="B9" s="174">
        <f>B7/B8</f>
        <v>5.5654939375869614E-2</v>
      </c>
      <c r="C9" s="175">
        <f>C7/C8</f>
        <v>0.24502174567992901</v>
      </c>
      <c r="D9" s="175">
        <f>D7/D8</f>
        <v>0.36323978470070345</v>
      </c>
      <c r="E9" s="176">
        <f>E7/E8</f>
        <v>0.50233632318171884</v>
      </c>
      <c r="G9" s="281" t="s">
        <v>188</v>
      </c>
      <c r="H9" s="281"/>
      <c r="I9" s="281"/>
      <c r="J9" s="281"/>
      <c r="K9" s="281"/>
      <c r="L9" s="281"/>
      <c r="M9" s="281"/>
      <c r="N9" s="281"/>
    </row>
    <row r="12" spans="2:14" x14ac:dyDescent="0.25">
      <c r="B12" s="170"/>
      <c r="C12" s="170"/>
      <c r="D12" s="170"/>
      <c r="E12" s="170"/>
    </row>
    <row r="14" spans="2:14" x14ac:dyDescent="0.25">
      <c r="B14" s="21"/>
      <c r="C14" s="21"/>
      <c r="D14" s="21"/>
      <c r="E14" s="21"/>
    </row>
    <row r="15" spans="2:14" x14ac:dyDescent="0.25">
      <c r="B15" s="21"/>
      <c r="C15" s="21"/>
      <c r="D15" s="21"/>
      <c r="E15" s="21"/>
    </row>
    <row r="16" spans="2:14" x14ac:dyDescent="0.25">
      <c r="B16" s="165"/>
      <c r="C16" s="165"/>
      <c r="D16" s="165"/>
      <c r="E16" s="165"/>
    </row>
    <row r="17" spans="2:5" x14ac:dyDescent="0.25">
      <c r="B17" s="307"/>
      <c r="C17" s="307"/>
      <c r="D17" s="307"/>
      <c r="E17" s="307"/>
    </row>
  </sheetData>
  <mergeCells count="7">
    <mergeCell ref="G5:N5"/>
    <mergeCell ref="B6:E6"/>
    <mergeCell ref="B17:E17"/>
    <mergeCell ref="G9:N9"/>
    <mergeCell ref="G8:N8"/>
    <mergeCell ref="G7:N7"/>
    <mergeCell ref="G6:N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9"/>
  <sheetViews>
    <sheetView topLeftCell="A22" zoomScale="70" zoomScaleNormal="70" workbookViewId="0">
      <selection activeCell="E50" sqref="E50"/>
    </sheetView>
  </sheetViews>
  <sheetFormatPr defaultRowHeight="15" x14ac:dyDescent="0.25"/>
  <cols>
    <col min="1" max="1" width="23.7109375" customWidth="1"/>
    <col min="2" max="2" width="10.140625" bestFit="1" customWidth="1"/>
    <col min="3" max="5" width="10" customWidth="1"/>
    <col min="7" max="7" width="24.140625" customWidth="1"/>
    <col min="8" max="11" width="10.7109375" customWidth="1"/>
    <col min="13" max="13" width="22" customWidth="1"/>
    <col min="14" max="17" width="11.5703125" customWidth="1"/>
    <col min="19" max="19" width="21.7109375" customWidth="1"/>
    <col min="20" max="23" width="11.5703125" customWidth="1"/>
    <col min="25" max="25" width="11.85546875" customWidth="1"/>
  </cols>
  <sheetData>
    <row r="1" spans="1:25" ht="46.5" x14ac:dyDescent="0.7">
      <c r="A1" s="211" t="s">
        <v>546</v>
      </c>
    </row>
    <row r="2" spans="1:25" ht="32.25" customHeight="1" x14ac:dyDescent="0.25">
      <c r="A2" s="231" t="s">
        <v>25</v>
      </c>
      <c r="B2" s="232"/>
      <c r="C2" s="232"/>
      <c r="D2" s="232"/>
      <c r="E2" s="233"/>
      <c r="G2" s="231" t="s">
        <v>30</v>
      </c>
      <c r="H2" s="232"/>
      <c r="I2" s="232"/>
      <c r="J2" s="232"/>
      <c r="K2" s="233"/>
      <c r="M2" s="231" t="s">
        <v>31</v>
      </c>
      <c r="N2" s="232"/>
      <c r="O2" s="232"/>
      <c r="P2" s="232"/>
      <c r="Q2" s="233"/>
      <c r="R2" s="10"/>
      <c r="S2" s="231" t="s">
        <v>32</v>
      </c>
      <c r="T2" s="232"/>
      <c r="U2" s="232"/>
      <c r="V2" s="232"/>
      <c r="W2" s="233"/>
    </row>
    <row r="3" spans="1:25" x14ac:dyDescent="0.25">
      <c r="A3" s="11" t="s">
        <v>0</v>
      </c>
      <c r="B3" s="12">
        <v>2015</v>
      </c>
      <c r="C3" s="12">
        <v>2025</v>
      </c>
      <c r="D3" s="12">
        <v>2035</v>
      </c>
      <c r="E3" s="13">
        <v>2050</v>
      </c>
      <c r="G3" s="11" t="s">
        <v>0</v>
      </c>
      <c r="H3" s="12">
        <v>2015</v>
      </c>
      <c r="I3" s="12">
        <v>2025</v>
      </c>
      <c r="J3" s="12">
        <v>2035</v>
      </c>
      <c r="K3" s="13">
        <v>2050</v>
      </c>
      <c r="M3" s="11" t="s">
        <v>0</v>
      </c>
      <c r="N3" s="12">
        <v>2015</v>
      </c>
      <c r="O3" s="12">
        <v>2025</v>
      </c>
      <c r="P3" s="12">
        <v>2035</v>
      </c>
      <c r="Q3" s="13">
        <v>2050</v>
      </c>
      <c r="R3" s="2"/>
      <c r="S3" s="11" t="s">
        <v>0</v>
      </c>
      <c r="T3" s="12">
        <v>2015</v>
      </c>
      <c r="U3" s="12">
        <v>2025</v>
      </c>
      <c r="V3" s="12">
        <v>2035</v>
      </c>
      <c r="W3" s="13">
        <v>2050</v>
      </c>
    </row>
    <row r="4" spans="1:25" x14ac:dyDescent="0.25">
      <c r="A4" s="1" t="s">
        <v>1</v>
      </c>
      <c r="B4" s="2">
        <v>0</v>
      </c>
      <c r="C4" s="2">
        <v>0</v>
      </c>
      <c r="D4" s="2">
        <v>0</v>
      </c>
      <c r="E4" s="3">
        <v>0</v>
      </c>
      <c r="G4" s="1" t="s">
        <v>1</v>
      </c>
      <c r="H4" s="4">
        <v>14</v>
      </c>
      <c r="I4" s="4">
        <v>50</v>
      </c>
      <c r="J4" s="4">
        <v>82</v>
      </c>
      <c r="K4" s="5">
        <v>127</v>
      </c>
      <c r="L4" s="21"/>
      <c r="M4" s="1" t="s">
        <v>13</v>
      </c>
      <c r="N4" s="4">
        <v>0</v>
      </c>
      <c r="O4" s="4">
        <v>0</v>
      </c>
      <c r="P4" s="4">
        <v>0</v>
      </c>
      <c r="Q4" s="5">
        <v>0</v>
      </c>
      <c r="R4" s="2"/>
      <c r="S4" s="1" t="s">
        <v>13</v>
      </c>
      <c r="T4" s="4">
        <v>8</v>
      </c>
      <c r="U4" s="4">
        <v>49</v>
      </c>
      <c r="V4" s="4">
        <v>92</v>
      </c>
      <c r="W4" s="5">
        <v>164</v>
      </c>
      <c r="Y4" s="23"/>
    </row>
    <row r="5" spans="1:25" x14ac:dyDescent="0.25">
      <c r="A5" s="1" t="s">
        <v>3</v>
      </c>
      <c r="B5" s="4">
        <v>1890</v>
      </c>
      <c r="C5" s="4">
        <v>1568</v>
      </c>
      <c r="D5" s="4">
        <v>1301</v>
      </c>
      <c r="E5" s="5">
        <v>991</v>
      </c>
      <c r="G5" s="1" t="s">
        <v>3</v>
      </c>
      <c r="H5" s="4">
        <v>1859</v>
      </c>
      <c r="I5" s="4">
        <v>1470</v>
      </c>
      <c r="J5" s="4">
        <v>1128</v>
      </c>
      <c r="K5" s="5">
        <v>750</v>
      </c>
      <c r="L5" s="21"/>
      <c r="M5" s="1" t="s">
        <v>14</v>
      </c>
      <c r="N5" s="4">
        <v>413</v>
      </c>
      <c r="O5" s="4">
        <v>339</v>
      </c>
      <c r="P5" s="4">
        <v>253</v>
      </c>
      <c r="Q5" s="5">
        <v>118</v>
      </c>
      <c r="R5" s="2"/>
      <c r="S5" s="1" t="s">
        <v>14</v>
      </c>
      <c r="T5" s="4">
        <v>408</v>
      </c>
      <c r="U5" s="4">
        <v>304</v>
      </c>
      <c r="V5" s="4">
        <v>187</v>
      </c>
      <c r="W5" s="5">
        <v>1</v>
      </c>
      <c r="Y5" s="92"/>
    </row>
    <row r="6" spans="1:25" x14ac:dyDescent="0.25">
      <c r="A6" s="1" t="s">
        <v>4</v>
      </c>
      <c r="B6" s="4">
        <v>191</v>
      </c>
      <c r="C6" s="4">
        <v>142</v>
      </c>
      <c r="D6" s="4">
        <v>82</v>
      </c>
      <c r="E6" s="5">
        <v>24</v>
      </c>
      <c r="G6" s="1" t="s">
        <v>4</v>
      </c>
      <c r="H6" s="4">
        <v>207</v>
      </c>
      <c r="I6" s="4">
        <v>187</v>
      </c>
      <c r="J6" s="4">
        <v>102</v>
      </c>
      <c r="K6" s="5">
        <v>31</v>
      </c>
      <c r="L6" s="21"/>
      <c r="M6" s="1" t="s">
        <v>15</v>
      </c>
      <c r="N6" s="89">
        <v>754</v>
      </c>
      <c r="O6" s="4">
        <v>802</v>
      </c>
      <c r="P6" s="4">
        <v>837</v>
      </c>
      <c r="Q6" s="5">
        <v>911</v>
      </c>
      <c r="R6" s="4"/>
      <c r="S6" s="1" t="s">
        <v>15</v>
      </c>
      <c r="T6" s="4">
        <v>744</v>
      </c>
      <c r="U6" s="4">
        <v>737</v>
      </c>
      <c r="V6" s="4">
        <v>714</v>
      </c>
      <c r="W6" s="5">
        <v>692</v>
      </c>
      <c r="Y6" s="92"/>
    </row>
    <row r="7" spans="1:25" x14ac:dyDescent="0.25">
      <c r="A7" s="1" t="s">
        <v>5</v>
      </c>
      <c r="B7" s="4">
        <v>26</v>
      </c>
      <c r="C7" s="4">
        <v>123</v>
      </c>
      <c r="D7" s="4">
        <v>191</v>
      </c>
      <c r="E7" s="5">
        <v>240</v>
      </c>
      <c r="G7" s="1" t="s">
        <v>5</v>
      </c>
      <c r="H7" s="4">
        <v>23</v>
      </c>
      <c r="I7" s="4">
        <v>110</v>
      </c>
      <c r="J7" s="4">
        <v>225</v>
      </c>
      <c r="K7" s="5">
        <v>270</v>
      </c>
      <c r="M7" s="1" t="s">
        <v>8</v>
      </c>
      <c r="N7" s="4">
        <v>311</v>
      </c>
      <c r="O7" s="4">
        <v>336</v>
      </c>
      <c r="P7" s="4">
        <v>355</v>
      </c>
      <c r="Q7" s="5">
        <v>394</v>
      </c>
      <c r="R7" s="4"/>
      <c r="S7" s="1" t="s">
        <v>8</v>
      </c>
      <c r="T7" s="4">
        <v>299</v>
      </c>
      <c r="U7" s="4">
        <v>258</v>
      </c>
      <c r="V7" s="4">
        <v>209</v>
      </c>
      <c r="W7" s="5">
        <v>133</v>
      </c>
      <c r="Y7" s="92"/>
    </row>
    <row r="8" spans="1:25" x14ac:dyDescent="0.25">
      <c r="A8" s="1" t="s">
        <v>6</v>
      </c>
      <c r="B8" s="4">
        <v>3</v>
      </c>
      <c r="C8" s="4">
        <v>13</v>
      </c>
      <c r="D8" s="4">
        <v>47</v>
      </c>
      <c r="E8" s="5">
        <v>113</v>
      </c>
      <c r="G8" s="1" t="s">
        <v>6</v>
      </c>
      <c r="H8" s="4">
        <v>16</v>
      </c>
      <c r="I8" s="4">
        <v>46</v>
      </c>
      <c r="J8" s="4">
        <v>90</v>
      </c>
      <c r="K8" s="5">
        <v>126</v>
      </c>
      <c r="M8" s="1" t="s">
        <v>9</v>
      </c>
      <c r="N8" s="4"/>
      <c r="O8" s="4"/>
      <c r="P8" s="4"/>
      <c r="Q8" s="5"/>
      <c r="R8" s="4"/>
      <c r="S8" s="1" t="s">
        <v>9</v>
      </c>
      <c r="T8" s="4"/>
      <c r="U8" s="4"/>
      <c r="V8" s="4"/>
      <c r="W8" s="5"/>
      <c r="Y8" s="23"/>
    </row>
    <row r="9" spans="1:25" x14ac:dyDescent="0.25">
      <c r="A9" s="1" t="s">
        <v>7</v>
      </c>
      <c r="B9" s="4">
        <v>129</v>
      </c>
      <c r="C9" s="4">
        <v>164</v>
      </c>
      <c r="D9" s="4">
        <v>201</v>
      </c>
      <c r="E9" s="5">
        <v>51</v>
      </c>
      <c r="G9" s="1" t="s">
        <v>7</v>
      </c>
      <c r="H9" s="4">
        <v>120</v>
      </c>
      <c r="I9" s="4">
        <v>139</v>
      </c>
      <c r="J9" s="4">
        <v>161</v>
      </c>
      <c r="K9" s="5"/>
      <c r="L9" s="21"/>
      <c r="M9" s="1" t="s">
        <v>16</v>
      </c>
      <c r="N9" s="4">
        <v>42</v>
      </c>
      <c r="O9" s="4">
        <v>31</v>
      </c>
      <c r="P9" s="4">
        <v>19</v>
      </c>
      <c r="Q9" s="5"/>
      <c r="R9" s="2"/>
      <c r="S9" s="1" t="s">
        <v>16</v>
      </c>
      <c r="T9" s="4">
        <v>42</v>
      </c>
      <c r="U9" s="4">
        <v>31</v>
      </c>
      <c r="V9" s="4">
        <v>19</v>
      </c>
      <c r="W9" s="5"/>
      <c r="Y9" s="23"/>
    </row>
    <row r="10" spans="1:25" x14ac:dyDescent="0.25">
      <c r="A10" s="1" t="s">
        <v>8</v>
      </c>
      <c r="B10" s="4">
        <v>723</v>
      </c>
      <c r="C10" s="4">
        <v>590</v>
      </c>
      <c r="D10" s="4">
        <v>472</v>
      </c>
      <c r="E10" s="5">
        <v>316</v>
      </c>
      <c r="G10" s="1" t="s">
        <v>8</v>
      </c>
      <c r="H10" s="4">
        <v>707</v>
      </c>
      <c r="I10" s="4">
        <v>553</v>
      </c>
      <c r="J10" s="4">
        <v>354</v>
      </c>
      <c r="K10" s="5">
        <v>124</v>
      </c>
      <c r="L10" s="21"/>
      <c r="M10" s="1" t="s">
        <v>17</v>
      </c>
      <c r="N10" s="4">
        <v>135</v>
      </c>
      <c r="O10" s="4">
        <v>151</v>
      </c>
      <c r="P10" s="4">
        <v>166</v>
      </c>
      <c r="Q10" s="5">
        <v>192</v>
      </c>
      <c r="R10" s="4"/>
      <c r="S10" s="1" t="s">
        <v>17</v>
      </c>
      <c r="T10" s="4">
        <v>141</v>
      </c>
      <c r="U10" s="4">
        <v>193</v>
      </c>
      <c r="V10" s="4">
        <v>244</v>
      </c>
      <c r="W10" s="5">
        <v>332</v>
      </c>
      <c r="Y10" s="23"/>
    </row>
    <row r="11" spans="1:25" x14ac:dyDescent="0.25">
      <c r="A11" s="1" t="s">
        <v>9</v>
      </c>
      <c r="B11" s="4"/>
      <c r="C11" s="4"/>
      <c r="D11" s="4"/>
      <c r="E11" s="5"/>
      <c r="G11" s="1" t="s">
        <v>9</v>
      </c>
      <c r="H11" s="4"/>
      <c r="I11" s="4"/>
      <c r="J11" s="4"/>
      <c r="K11" s="5"/>
      <c r="L11" s="21"/>
      <c r="M11" s="7" t="s">
        <v>12</v>
      </c>
      <c r="N11" s="8">
        <f>SUM(N4:N10)</f>
        <v>1655</v>
      </c>
      <c r="O11" s="8">
        <f>SUM(O4:O10)</f>
        <v>1659</v>
      </c>
      <c r="P11" s="8">
        <f>SUM(P4:P10)</f>
        <v>1630</v>
      </c>
      <c r="Q11" s="9">
        <f>SUM(Q4:Q10)</f>
        <v>1615</v>
      </c>
      <c r="R11" s="4"/>
      <c r="S11" s="7" t="s">
        <v>12</v>
      </c>
      <c r="T11" s="8">
        <v>1641</v>
      </c>
      <c r="U11" s="8">
        <f>SUM(U4:U10)</f>
        <v>1572</v>
      </c>
      <c r="V11" s="8">
        <f>SUM(V4:V10)</f>
        <v>1465</v>
      </c>
      <c r="W11" s="9">
        <f>SUM(W4:W10)</f>
        <v>1322</v>
      </c>
    </row>
    <row r="12" spans="1:25" x14ac:dyDescent="0.25">
      <c r="A12" s="1" t="s">
        <v>10</v>
      </c>
      <c r="B12" s="4">
        <v>1761</v>
      </c>
      <c r="C12" s="4">
        <v>1342</v>
      </c>
      <c r="D12" s="4">
        <v>940</v>
      </c>
      <c r="E12" s="5">
        <v>411</v>
      </c>
      <c r="G12" s="1" t="s">
        <v>10</v>
      </c>
      <c r="H12" s="4">
        <v>1694</v>
      </c>
      <c r="I12" s="4">
        <v>1138</v>
      </c>
      <c r="J12" s="4">
        <v>601</v>
      </c>
      <c r="K12" s="5"/>
      <c r="L12" s="21"/>
    </row>
    <row r="13" spans="1:25" x14ac:dyDescent="0.25">
      <c r="A13" s="1" t="s">
        <v>11</v>
      </c>
      <c r="B13" s="4">
        <v>364</v>
      </c>
      <c r="C13" s="4">
        <v>323</v>
      </c>
      <c r="D13" s="4">
        <v>290</v>
      </c>
      <c r="E13" s="5">
        <v>259</v>
      </c>
      <c r="G13" s="1" t="s">
        <v>11</v>
      </c>
      <c r="H13" s="4">
        <v>316</v>
      </c>
      <c r="I13" s="4">
        <v>353</v>
      </c>
      <c r="J13" s="4">
        <v>317</v>
      </c>
      <c r="K13" s="5">
        <v>296</v>
      </c>
      <c r="L13" s="21"/>
      <c r="N13" s="21"/>
      <c r="O13" s="21"/>
      <c r="P13" s="21"/>
      <c r="Q13" s="21"/>
      <c r="T13" s="21"/>
      <c r="U13" s="21"/>
      <c r="V13" s="21"/>
      <c r="W13" s="21"/>
    </row>
    <row r="14" spans="1:25" x14ac:dyDescent="0.25">
      <c r="A14" s="7" t="s">
        <v>12</v>
      </c>
      <c r="B14" s="8">
        <f>SUM(B4:B13)</f>
        <v>5087</v>
      </c>
      <c r="C14" s="8">
        <f>SUM(C4:C13)</f>
        <v>4265</v>
      </c>
      <c r="D14" s="8">
        <f>SUM(D4:D13)</f>
        <v>3524</v>
      </c>
      <c r="E14" s="9">
        <f>SUM(E4:E13)</f>
        <v>2405</v>
      </c>
      <c r="G14" s="7" t="s">
        <v>12</v>
      </c>
      <c r="H14" s="8">
        <f>SUM(H4:H13)</f>
        <v>4956</v>
      </c>
      <c r="I14" s="8">
        <f>SUM(I4:I13)</f>
        <v>4046</v>
      </c>
      <c r="J14" s="8">
        <f>SUM(J4:J13)</f>
        <v>3060</v>
      </c>
      <c r="K14" s="9">
        <f>SUM(K4:K13)</f>
        <v>1724</v>
      </c>
    </row>
    <row r="15" spans="1:25" ht="15.75" thickBot="1" x14ac:dyDescent="0.3">
      <c r="L15" s="22"/>
    </row>
    <row r="16" spans="1:25" ht="15.75" thickBot="1" x14ac:dyDescent="0.3">
      <c r="B16" s="21"/>
      <c r="C16" s="21"/>
      <c r="D16" s="21"/>
      <c r="E16" s="21"/>
      <c r="H16" s="21"/>
      <c r="I16" s="21"/>
      <c r="J16" s="21"/>
      <c r="K16" s="21"/>
      <c r="L16" s="22"/>
      <c r="M16" s="222" t="s">
        <v>570</v>
      </c>
      <c r="N16" s="222"/>
      <c r="O16" s="222" t="s">
        <v>566</v>
      </c>
      <c r="P16" s="222"/>
      <c r="Q16" s="223"/>
      <c r="R16" s="221">
        <v>1.7000000000000001E-2</v>
      </c>
    </row>
    <row r="17" spans="1:17" x14ac:dyDescent="0.25">
      <c r="B17" s="21"/>
      <c r="C17" s="21"/>
      <c r="D17" s="21"/>
      <c r="E17" s="21"/>
      <c r="H17" s="21"/>
      <c r="I17" s="21"/>
      <c r="J17" s="21"/>
      <c r="K17" s="30"/>
      <c r="L17" s="22"/>
      <c r="M17" s="222" t="s">
        <v>568</v>
      </c>
      <c r="N17" s="222"/>
      <c r="O17" s="222"/>
      <c r="P17" s="222"/>
      <c r="Q17" s="223"/>
    </row>
    <row r="18" spans="1:17" x14ac:dyDescent="0.25">
      <c r="B18" s="21"/>
      <c r="L18" s="22"/>
      <c r="M18" s="223"/>
      <c r="N18" s="223">
        <v>2015</v>
      </c>
      <c r="O18" s="223">
        <v>2025</v>
      </c>
      <c r="P18" s="223">
        <v>2035</v>
      </c>
      <c r="Q18" s="223">
        <v>2050</v>
      </c>
    </row>
    <row r="19" spans="1:17" x14ac:dyDescent="0.25">
      <c r="B19" s="21"/>
      <c r="C19" s="21"/>
      <c r="D19" s="21"/>
      <c r="E19" s="21"/>
      <c r="H19" s="21"/>
      <c r="I19" s="21"/>
      <c r="J19" s="21"/>
      <c r="K19" s="21"/>
      <c r="L19" s="22"/>
      <c r="M19" s="223" t="s">
        <v>1</v>
      </c>
      <c r="N19" s="224">
        <f>H4*$R$16*1000</f>
        <v>238.00000000000003</v>
      </c>
      <c r="O19" s="224">
        <f>I4*$R$16*1000</f>
        <v>850.00000000000011</v>
      </c>
      <c r="P19" s="224">
        <f>J4*$R$16*1000</f>
        <v>1394.0000000000002</v>
      </c>
      <c r="Q19" s="224">
        <f>K4*$R$16*1000</f>
        <v>2159.0000000000005</v>
      </c>
    </row>
    <row r="20" spans="1:17" x14ac:dyDescent="0.25">
      <c r="B20" s="21"/>
      <c r="C20" s="21"/>
      <c r="D20" s="21"/>
      <c r="E20" s="21"/>
      <c r="H20" s="23"/>
      <c r="I20" s="23"/>
      <c r="J20" s="23"/>
      <c r="K20" s="23"/>
      <c r="L20" s="22"/>
      <c r="M20" s="222" t="s">
        <v>3</v>
      </c>
      <c r="N20" s="224">
        <f t="shared" ref="N20:N28" si="0">H5*$R$16*1000</f>
        <v>31603</v>
      </c>
      <c r="O20" s="224">
        <f t="shared" ref="O20:O28" si="1">I5*$R$16*1000</f>
        <v>24990.000000000004</v>
      </c>
      <c r="P20" s="224">
        <f t="shared" ref="P20:P28" si="2">J5*$R$16*1000</f>
        <v>19176.000000000004</v>
      </c>
      <c r="Q20" s="224">
        <f t="shared" ref="Q20:Q28" si="3">K5*$R$16*1000</f>
        <v>12750.000000000002</v>
      </c>
    </row>
    <row r="21" spans="1:17" x14ac:dyDescent="0.25">
      <c r="L21" s="22"/>
      <c r="M21" s="222" t="s">
        <v>548</v>
      </c>
      <c r="N21" s="224">
        <f t="shared" si="0"/>
        <v>3519</v>
      </c>
      <c r="O21" s="224">
        <f t="shared" si="1"/>
        <v>3179.0000000000005</v>
      </c>
      <c r="P21" s="224">
        <f t="shared" si="2"/>
        <v>1734.0000000000002</v>
      </c>
      <c r="Q21" s="224">
        <f t="shared" si="3"/>
        <v>527</v>
      </c>
    </row>
    <row r="22" spans="1:17" ht="33.75" customHeight="1" x14ac:dyDescent="0.25">
      <c r="A22" s="231" t="s">
        <v>472</v>
      </c>
      <c r="B22" s="232"/>
      <c r="C22" s="232"/>
      <c r="D22" s="232"/>
      <c r="E22" s="233"/>
      <c r="G22" s="231" t="s">
        <v>473</v>
      </c>
      <c r="H22" s="232"/>
      <c r="I22" s="232"/>
      <c r="J22" s="232"/>
      <c r="K22" s="233"/>
      <c r="L22" s="22"/>
      <c r="M22" s="222" t="s">
        <v>5</v>
      </c>
      <c r="N22" s="224">
        <f t="shared" si="0"/>
        <v>391</v>
      </c>
      <c r="O22" s="224">
        <f t="shared" si="1"/>
        <v>1870</v>
      </c>
      <c r="P22" s="224">
        <f t="shared" si="2"/>
        <v>3825</v>
      </c>
      <c r="Q22" s="224">
        <f t="shared" si="3"/>
        <v>4590.0000000000009</v>
      </c>
    </row>
    <row r="23" spans="1:17" x14ac:dyDescent="0.25">
      <c r="A23" s="14" t="s">
        <v>0</v>
      </c>
      <c r="B23" s="15">
        <v>2015</v>
      </c>
      <c r="C23" s="15">
        <v>2025</v>
      </c>
      <c r="D23" s="15">
        <v>2035</v>
      </c>
      <c r="E23" s="16">
        <v>2050</v>
      </c>
      <c r="G23" s="14" t="s">
        <v>0</v>
      </c>
      <c r="H23" s="15">
        <v>2015</v>
      </c>
      <c r="I23" s="15">
        <v>2025</v>
      </c>
      <c r="J23" s="15">
        <v>2035</v>
      </c>
      <c r="K23" s="16">
        <v>2050</v>
      </c>
      <c r="M23" s="222" t="s">
        <v>6</v>
      </c>
      <c r="N23" s="224">
        <f t="shared" si="0"/>
        <v>272</v>
      </c>
      <c r="O23" s="224">
        <f t="shared" si="1"/>
        <v>782</v>
      </c>
      <c r="P23" s="224">
        <f t="shared" si="2"/>
        <v>1530</v>
      </c>
      <c r="Q23" s="224">
        <f t="shared" si="3"/>
        <v>2142.0000000000005</v>
      </c>
    </row>
    <row r="24" spans="1:17" x14ac:dyDescent="0.25">
      <c r="A24" s="1" t="s">
        <v>21</v>
      </c>
      <c r="B24" s="4">
        <v>2912</v>
      </c>
      <c r="C24" s="4">
        <v>2370</v>
      </c>
      <c r="D24" s="4">
        <v>2020</v>
      </c>
      <c r="E24" s="5">
        <v>1696</v>
      </c>
      <c r="G24" s="1" t="s">
        <v>21</v>
      </c>
      <c r="H24" s="4">
        <v>2923</v>
      </c>
      <c r="I24" s="4">
        <v>2094</v>
      </c>
      <c r="J24" s="4">
        <v>1166</v>
      </c>
      <c r="K24" s="5">
        <v>91</v>
      </c>
      <c r="M24" s="222" t="s">
        <v>7</v>
      </c>
      <c r="N24" s="224">
        <f t="shared" si="0"/>
        <v>2040</v>
      </c>
      <c r="O24" s="224">
        <f t="shared" si="1"/>
        <v>2363</v>
      </c>
      <c r="P24" s="224">
        <f t="shared" si="2"/>
        <v>2737</v>
      </c>
      <c r="Q24" s="224">
        <f t="shared" si="3"/>
        <v>0</v>
      </c>
    </row>
    <row r="25" spans="1:17" x14ac:dyDescent="0.25">
      <c r="A25" s="1" t="s">
        <v>22</v>
      </c>
      <c r="B25" s="4">
        <v>395</v>
      </c>
      <c r="C25" s="4">
        <v>319</v>
      </c>
      <c r="D25" s="4">
        <v>270</v>
      </c>
      <c r="E25" s="5">
        <v>224</v>
      </c>
      <c r="G25" s="1" t="s">
        <v>22</v>
      </c>
      <c r="H25" s="4">
        <v>390</v>
      </c>
      <c r="I25" s="4">
        <v>260</v>
      </c>
      <c r="J25" s="4">
        <v>141</v>
      </c>
      <c r="K25" s="5">
        <v>16</v>
      </c>
      <c r="M25" s="222" t="s">
        <v>8</v>
      </c>
      <c r="N25" s="224">
        <f t="shared" si="0"/>
        <v>12019</v>
      </c>
      <c r="O25" s="224">
        <f t="shared" si="1"/>
        <v>9401</v>
      </c>
      <c r="P25" s="224">
        <f t="shared" si="2"/>
        <v>6018.0000000000009</v>
      </c>
      <c r="Q25" s="224">
        <f t="shared" si="3"/>
        <v>2108</v>
      </c>
    </row>
    <row r="26" spans="1:17" x14ac:dyDescent="0.25">
      <c r="A26" s="1" t="s">
        <v>23</v>
      </c>
      <c r="B26" s="4">
        <v>3</v>
      </c>
      <c r="C26" s="4">
        <v>9</v>
      </c>
      <c r="D26" s="4">
        <v>14</v>
      </c>
      <c r="E26" s="5">
        <v>21</v>
      </c>
      <c r="G26" s="1" t="s">
        <v>23</v>
      </c>
      <c r="H26" s="4">
        <v>3</v>
      </c>
      <c r="I26" s="4">
        <v>82</v>
      </c>
      <c r="J26" s="4">
        <v>238</v>
      </c>
      <c r="K26" s="5">
        <v>461</v>
      </c>
      <c r="M26" s="222" t="s">
        <v>9</v>
      </c>
      <c r="N26" s="224">
        <f t="shared" si="0"/>
        <v>0</v>
      </c>
      <c r="O26" s="224">
        <f t="shared" si="1"/>
        <v>0</v>
      </c>
      <c r="P26" s="224">
        <f t="shared" si="2"/>
        <v>0</v>
      </c>
      <c r="Q26" s="224">
        <f t="shared" si="3"/>
        <v>0</v>
      </c>
    </row>
    <row r="27" spans="1:17" x14ac:dyDescent="0.25">
      <c r="A27" s="1" t="s">
        <v>20</v>
      </c>
      <c r="B27" s="4">
        <v>106</v>
      </c>
      <c r="C27" s="4">
        <v>100</v>
      </c>
      <c r="D27" s="4">
        <v>98</v>
      </c>
      <c r="E27" s="5">
        <v>97</v>
      </c>
      <c r="G27" s="1" t="s">
        <v>20</v>
      </c>
      <c r="H27" s="4">
        <v>98</v>
      </c>
      <c r="I27" s="4">
        <v>61</v>
      </c>
      <c r="J27" s="4">
        <v>33</v>
      </c>
      <c r="K27" s="5">
        <v>1</v>
      </c>
      <c r="M27" s="222" t="s">
        <v>10</v>
      </c>
      <c r="N27" s="224">
        <f t="shared" si="0"/>
        <v>28798</v>
      </c>
      <c r="O27" s="224">
        <f t="shared" si="1"/>
        <v>19346</v>
      </c>
      <c r="P27" s="224">
        <f t="shared" si="2"/>
        <v>10217</v>
      </c>
      <c r="Q27" s="224">
        <f t="shared" si="3"/>
        <v>0</v>
      </c>
    </row>
    <row r="28" spans="1:17" x14ac:dyDescent="0.25">
      <c r="A28" s="1" t="s">
        <v>18</v>
      </c>
      <c r="B28" s="4">
        <v>1</v>
      </c>
      <c r="C28" s="4">
        <v>1</v>
      </c>
      <c r="D28" s="4">
        <v>1</v>
      </c>
      <c r="E28" s="5">
        <v>0</v>
      </c>
      <c r="G28" s="1" t="s">
        <v>18</v>
      </c>
      <c r="H28" s="4">
        <v>8</v>
      </c>
      <c r="I28" s="4">
        <v>38</v>
      </c>
      <c r="J28" s="4">
        <v>61</v>
      </c>
      <c r="K28" s="5">
        <v>87</v>
      </c>
      <c r="M28" s="222" t="s">
        <v>549</v>
      </c>
      <c r="N28" s="224">
        <f t="shared" si="0"/>
        <v>5372.0000000000009</v>
      </c>
      <c r="O28" s="224">
        <f t="shared" si="1"/>
        <v>6001</v>
      </c>
      <c r="P28" s="224">
        <f t="shared" si="2"/>
        <v>5389</v>
      </c>
      <c r="Q28" s="224">
        <f t="shared" si="3"/>
        <v>5032</v>
      </c>
    </row>
    <row r="29" spans="1:17" x14ac:dyDescent="0.25">
      <c r="A29" s="6" t="s">
        <v>24</v>
      </c>
      <c r="B29" s="18">
        <v>0</v>
      </c>
      <c r="C29" s="18">
        <v>0</v>
      </c>
      <c r="D29" s="18">
        <v>0</v>
      </c>
      <c r="E29" s="19">
        <v>0</v>
      </c>
      <c r="G29" s="1" t="s">
        <v>24</v>
      </c>
      <c r="H29" s="4">
        <v>0</v>
      </c>
      <c r="I29" s="4">
        <v>0</v>
      </c>
      <c r="J29" s="4">
        <v>0</v>
      </c>
      <c r="K29" s="5">
        <v>0</v>
      </c>
      <c r="M29" s="222" t="s">
        <v>550</v>
      </c>
      <c r="N29" s="225">
        <f>(B14-H14)*$R$16*1000</f>
        <v>2227.0000000000005</v>
      </c>
      <c r="O29" s="225">
        <f t="shared" ref="O29:Q29" si="4">(C14-I14)*$R$16*1000</f>
        <v>3723.0000000000005</v>
      </c>
      <c r="P29" s="225">
        <f t="shared" si="4"/>
        <v>7888.0000000000009</v>
      </c>
      <c r="Q29" s="225">
        <f t="shared" si="4"/>
        <v>11577</v>
      </c>
    </row>
    <row r="30" spans="1:17" x14ac:dyDescent="0.25">
      <c r="A30" s="7" t="s">
        <v>12</v>
      </c>
      <c r="B30" s="8">
        <f>SUM(B24:B29)</f>
        <v>3417</v>
      </c>
      <c r="C30" s="8">
        <f>SUM(C24:C29)</f>
        <v>2799</v>
      </c>
      <c r="D30" s="8">
        <f>SUM(D24:D29)</f>
        <v>2403</v>
      </c>
      <c r="E30" s="9">
        <f>SUM(E24:E29)</f>
        <v>2038</v>
      </c>
      <c r="G30" s="7" t="s">
        <v>12</v>
      </c>
      <c r="H30" s="8">
        <f>SUM(H24:H29)</f>
        <v>3422</v>
      </c>
      <c r="I30" s="8">
        <f>SUM(I24:I29)</f>
        <v>2535</v>
      </c>
      <c r="J30" s="8">
        <f>SUM(J24:J29)</f>
        <v>1639</v>
      </c>
      <c r="K30" s="9">
        <f>SUM(K24:K29)</f>
        <v>656</v>
      </c>
    </row>
    <row r="32" spans="1:17" ht="30" hidden="1" customHeight="1" x14ac:dyDescent="0.25"/>
    <row r="33" spans="1:17" ht="15" hidden="1" customHeight="1" x14ac:dyDescent="0.25">
      <c r="A33" t="s">
        <v>37</v>
      </c>
      <c r="G33" t="s">
        <v>38</v>
      </c>
    </row>
    <row r="34" spans="1:17" ht="15" hidden="1" customHeight="1" x14ac:dyDescent="0.25">
      <c r="A34" t="s">
        <v>0</v>
      </c>
      <c r="B34">
        <v>2015</v>
      </c>
      <c r="C34">
        <v>2025</v>
      </c>
      <c r="D34">
        <v>2035</v>
      </c>
      <c r="E34">
        <v>2050</v>
      </c>
      <c r="G34" t="s">
        <v>0</v>
      </c>
      <c r="H34">
        <v>2015</v>
      </c>
      <c r="I34">
        <v>2025</v>
      </c>
      <c r="J34">
        <v>2035</v>
      </c>
      <c r="K34">
        <v>2050</v>
      </c>
    </row>
    <row r="35" spans="1:17" ht="15" hidden="1" customHeight="1" x14ac:dyDescent="0.25">
      <c r="A35" t="s">
        <v>41</v>
      </c>
      <c r="B35">
        <v>0.3</v>
      </c>
      <c r="C35">
        <v>0.4</v>
      </c>
      <c r="D35">
        <v>0.5</v>
      </c>
      <c r="E35">
        <v>0.6</v>
      </c>
      <c r="G35" t="s">
        <v>41</v>
      </c>
      <c r="H35">
        <v>0.3</v>
      </c>
      <c r="I35">
        <v>0.4</v>
      </c>
      <c r="J35">
        <v>0.6</v>
      </c>
      <c r="K35">
        <v>0.7</v>
      </c>
    </row>
    <row r="36" spans="1:17" ht="15" hidden="1" customHeight="1" x14ac:dyDescent="0.25">
      <c r="A36" t="s">
        <v>26</v>
      </c>
      <c r="B36">
        <v>0.9</v>
      </c>
      <c r="C36">
        <v>1</v>
      </c>
      <c r="D36">
        <v>1.2</v>
      </c>
      <c r="E36">
        <v>1.5</v>
      </c>
      <c r="G36" t="s">
        <v>26</v>
      </c>
      <c r="H36">
        <v>0.9</v>
      </c>
      <c r="I36">
        <v>0.9</v>
      </c>
      <c r="J36">
        <v>1</v>
      </c>
      <c r="K36">
        <v>1.1000000000000001</v>
      </c>
    </row>
    <row r="37" spans="1:17" ht="15" hidden="1" customHeight="1" x14ac:dyDescent="0.25">
      <c r="A37" t="s">
        <v>39</v>
      </c>
      <c r="B37">
        <v>0.4</v>
      </c>
      <c r="C37">
        <v>0.4</v>
      </c>
      <c r="D37">
        <v>0.4</v>
      </c>
      <c r="E37">
        <v>0.3</v>
      </c>
      <c r="G37" t="s">
        <v>39</v>
      </c>
      <c r="H37">
        <v>0.5</v>
      </c>
      <c r="I37">
        <v>0.5</v>
      </c>
      <c r="J37">
        <v>0.4</v>
      </c>
      <c r="K37">
        <v>0.4</v>
      </c>
    </row>
    <row r="38" spans="1:17" ht="15" hidden="1" customHeight="1" x14ac:dyDescent="0.25">
      <c r="A38" t="s">
        <v>27</v>
      </c>
      <c r="B38">
        <v>0.1</v>
      </c>
      <c r="C38">
        <v>0.1</v>
      </c>
      <c r="D38">
        <v>0.1</v>
      </c>
      <c r="E38">
        <v>0.1</v>
      </c>
      <c r="G38" t="s">
        <v>27</v>
      </c>
      <c r="H38">
        <v>0.1</v>
      </c>
      <c r="I38">
        <v>0.1</v>
      </c>
      <c r="J38">
        <v>0.1</v>
      </c>
      <c r="K38">
        <v>0.1</v>
      </c>
    </row>
    <row r="39" spans="1:17" ht="15" hidden="1" customHeight="1" x14ac:dyDescent="0.25">
      <c r="A39" t="s">
        <v>28</v>
      </c>
      <c r="B39">
        <v>1.8</v>
      </c>
      <c r="C39">
        <v>1.6</v>
      </c>
      <c r="D39">
        <v>1.4</v>
      </c>
      <c r="E39">
        <v>1.3</v>
      </c>
      <c r="G39" t="s">
        <v>28</v>
      </c>
      <c r="H39">
        <v>1.7</v>
      </c>
      <c r="I39">
        <v>1.3</v>
      </c>
      <c r="J39">
        <v>0.9</v>
      </c>
      <c r="K39">
        <v>0.6</v>
      </c>
    </row>
    <row r="40" spans="1:17" ht="15" hidden="1" customHeight="1" x14ac:dyDescent="0.25">
      <c r="A40" t="s">
        <v>29</v>
      </c>
      <c r="B40">
        <v>2.5</v>
      </c>
      <c r="C40">
        <v>3.5</v>
      </c>
      <c r="D40">
        <v>4.5999999999999996</v>
      </c>
      <c r="E40">
        <v>6.1</v>
      </c>
      <c r="G40" t="s">
        <v>29</v>
      </c>
      <c r="H40">
        <v>2.1</v>
      </c>
      <c r="I40">
        <v>2.2000000000000002</v>
      </c>
      <c r="J40">
        <v>2.2000000000000002</v>
      </c>
      <c r="K40">
        <v>2.2000000000000002</v>
      </c>
    </row>
    <row r="41" spans="1:17" ht="15" hidden="1" customHeight="1" x14ac:dyDescent="0.25">
      <c r="A41" t="s">
        <v>40</v>
      </c>
      <c r="B41">
        <v>0.2</v>
      </c>
      <c r="C41">
        <v>0.2</v>
      </c>
      <c r="D41">
        <v>0.2</v>
      </c>
      <c r="E41">
        <v>0.2</v>
      </c>
      <c r="G41" t="s">
        <v>40</v>
      </c>
      <c r="H41">
        <v>0.2</v>
      </c>
      <c r="I41">
        <v>0.2</v>
      </c>
      <c r="J41">
        <v>0.2</v>
      </c>
      <c r="K41">
        <v>0.2</v>
      </c>
    </row>
    <row r="42" spans="1:17" ht="15" hidden="1" customHeight="1" x14ac:dyDescent="0.25">
      <c r="A42" t="s">
        <v>12</v>
      </c>
      <c r="B42">
        <f>SUM(B35:B41)</f>
        <v>6.2</v>
      </c>
      <c r="C42">
        <f>SUM(C35:C41)</f>
        <v>7.2</v>
      </c>
      <c r="D42">
        <f>SUM(D35:D41)</f>
        <v>8.3999999999999986</v>
      </c>
      <c r="E42">
        <f>SUM(E35:E41)</f>
        <v>10.099999999999998</v>
      </c>
      <c r="G42" t="s">
        <v>12</v>
      </c>
      <c r="H42">
        <f>SUM(H35:H41)</f>
        <v>5.8</v>
      </c>
      <c r="I42">
        <f>SUM(I35:I41)</f>
        <v>5.6000000000000005</v>
      </c>
      <c r="J42">
        <f>SUM(J35:J41)</f>
        <v>5.4</v>
      </c>
      <c r="K42">
        <f>SUM(K35:K41)</f>
        <v>5.3000000000000007</v>
      </c>
    </row>
    <row r="43" spans="1:17" ht="15" hidden="1" customHeight="1" x14ac:dyDescent="0.25"/>
    <row r="44" spans="1:17" ht="15" hidden="1" customHeight="1" x14ac:dyDescent="0.25"/>
    <row r="45" spans="1:17" ht="16.5" hidden="1" customHeight="1" x14ac:dyDescent="0.25"/>
    <row r="46" spans="1:17" ht="0.75" customHeight="1" x14ac:dyDescent="0.25"/>
    <row r="47" spans="1:17" ht="33.75" customHeight="1" x14ac:dyDescent="0.25"/>
    <row r="48" spans="1:17" ht="58.5" customHeight="1" x14ac:dyDescent="0.25">
      <c r="A48" s="234" t="s">
        <v>184</v>
      </c>
      <c r="B48" s="17">
        <v>2015</v>
      </c>
      <c r="C48" s="17">
        <v>2025</v>
      </c>
      <c r="D48" s="17">
        <v>2035</v>
      </c>
      <c r="E48" s="17">
        <v>2050</v>
      </c>
      <c r="M48" s="223"/>
      <c r="N48" s="223" t="s">
        <v>569</v>
      </c>
      <c r="O48" s="223"/>
      <c r="P48" s="223"/>
      <c r="Q48" s="226">
        <v>1.9E-2</v>
      </c>
    </row>
    <row r="49" spans="1:17" ht="89.25" customHeight="1" x14ac:dyDescent="0.25">
      <c r="A49" s="234"/>
      <c r="B49" s="214">
        <v>12</v>
      </c>
      <c r="C49" s="213">
        <v>56</v>
      </c>
      <c r="D49" s="213">
        <v>88</v>
      </c>
      <c r="E49" s="213">
        <v>129</v>
      </c>
      <c r="M49" s="223" t="s">
        <v>567</v>
      </c>
      <c r="N49" s="223"/>
      <c r="O49" s="223"/>
      <c r="P49" s="223"/>
      <c r="Q49" s="223"/>
    </row>
    <row r="50" spans="1:17" x14ac:dyDescent="0.25">
      <c r="M50" s="223"/>
      <c r="N50" s="223">
        <v>2015</v>
      </c>
      <c r="O50" s="223">
        <v>2025</v>
      </c>
      <c r="P50" s="223">
        <v>2035</v>
      </c>
      <c r="Q50" s="223">
        <v>2050</v>
      </c>
    </row>
    <row r="51" spans="1:17" x14ac:dyDescent="0.25">
      <c r="M51" s="223" t="s">
        <v>13</v>
      </c>
      <c r="N51" s="223">
        <f>T4*$Q$48*1000</f>
        <v>152</v>
      </c>
      <c r="O51" s="223">
        <f t="shared" ref="O51:Q57" si="5">U4*$Q$48*1000</f>
        <v>930.99999999999989</v>
      </c>
      <c r="P51" s="223">
        <f t="shared" si="5"/>
        <v>1748</v>
      </c>
      <c r="Q51" s="223">
        <f t="shared" si="5"/>
        <v>3116</v>
      </c>
    </row>
    <row r="52" spans="1:17" x14ac:dyDescent="0.25">
      <c r="M52" s="223" t="s">
        <v>14</v>
      </c>
      <c r="N52" s="223">
        <f t="shared" ref="N52:N57" si="6">T5*$Q$48*1000</f>
        <v>7752</v>
      </c>
      <c r="O52" s="223">
        <f t="shared" si="5"/>
        <v>5776</v>
      </c>
      <c r="P52" s="223">
        <f t="shared" si="5"/>
        <v>3553</v>
      </c>
      <c r="Q52" s="223">
        <f t="shared" si="5"/>
        <v>19</v>
      </c>
    </row>
    <row r="53" spans="1:17" x14ac:dyDescent="0.25">
      <c r="M53" s="223" t="s">
        <v>15</v>
      </c>
      <c r="N53" s="223">
        <f t="shared" si="6"/>
        <v>14136</v>
      </c>
      <c r="O53" s="223">
        <f t="shared" si="5"/>
        <v>14003</v>
      </c>
      <c r="P53" s="223">
        <f t="shared" si="5"/>
        <v>13565.999999999998</v>
      </c>
      <c r="Q53" s="223">
        <f t="shared" si="5"/>
        <v>13148</v>
      </c>
    </row>
    <row r="54" spans="1:17" x14ac:dyDescent="0.25">
      <c r="M54" s="223" t="s">
        <v>8</v>
      </c>
      <c r="N54" s="223">
        <f t="shared" si="6"/>
        <v>5681</v>
      </c>
      <c r="O54" s="223">
        <f t="shared" si="5"/>
        <v>4902</v>
      </c>
      <c r="P54" s="223">
        <f t="shared" si="5"/>
        <v>3971</v>
      </c>
      <c r="Q54" s="223">
        <f t="shared" si="5"/>
        <v>2527</v>
      </c>
    </row>
    <row r="55" spans="1:17" x14ac:dyDescent="0.25">
      <c r="M55" s="223" t="s">
        <v>9</v>
      </c>
      <c r="N55" s="223">
        <f t="shared" si="6"/>
        <v>0</v>
      </c>
      <c r="O55" s="223">
        <f t="shared" si="5"/>
        <v>0</v>
      </c>
      <c r="P55" s="223">
        <f t="shared" si="5"/>
        <v>0</v>
      </c>
      <c r="Q55" s="223">
        <f t="shared" si="5"/>
        <v>0</v>
      </c>
    </row>
    <row r="56" spans="1:17" x14ac:dyDescent="0.25">
      <c r="M56" s="223" t="s">
        <v>16</v>
      </c>
      <c r="N56" s="223">
        <f t="shared" si="6"/>
        <v>797.99999999999989</v>
      </c>
      <c r="O56" s="223">
        <f t="shared" si="5"/>
        <v>589</v>
      </c>
      <c r="P56" s="223">
        <f t="shared" si="5"/>
        <v>361</v>
      </c>
      <c r="Q56" s="223">
        <f t="shared" si="5"/>
        <v>0</v>
      </c>
    </row>
    <row r="57" spans="1:17" x14ac:dyDescent="0.25">
      <c r="M57" s="223" t="s">
        <v>17</v>
      </c>
      <c r="N57" s="223">
        <f t="shared" si="6"/>
        <v>2679</v>
      </c>
      <c r="O57" s="223">
        <f t="shared" si="5"/>
        <v>3667</v>
      </c>
      <c r="P57" s="223">
        <f t="shared" si="5"/>
        <v>4636</v>
      </c>
      <c r="Q57" s="223">
        <f t="shared" si="5"/>
        <v>6308</v>
      </c>
    </row>
    <row r="58" spans="1:17" x14ac:dyDescent="0.25">
      <c r="M58" s="223" t="s">
        <v>550</v>
      </c>
      <c r="N58" s="223">
        <f>(N11-T11)*$Q$48*1000</f>
        <v>266</v>
      </c>
      <c r="O58" s="223">
        <f>(O11-U11)*$Q$48*1000</f>
        <v>1653</v>
      </c>
      <c r="P58" s="223">
        <f t="shared" ref="P58:Q58" si="7">(P11-V11)*$Q$48*1000</f>
        <v>3135</v>
      </c>
      <c r="Q58" s="223">
        <f t="shared" si="7"/>
        <v>5567</v>
      </c>
    </row>
    <row r="60" spans="1:17" ht="15.75" thickBot="1" x14ac:dyDescent="0.3"/>
    <row r="61" spans="1:17" ht="15.75" thickBot="1" x14ac:dyDescent="0.3">
      <c r="N61" t="s">
        <v>572</v>
      </c>
      <c r="Q61" s="229">
        <v>1.9E-2</v>
      </c>
    </row>
    <row r="62" spans="1:17" x14ac:dyDescent="0.25">
      <c r="M62" s="227" t="s">
        <v>571</v>
      </c>
      <c r="N62" s="228"/>
      <c r="O62" s="228"/>
      <c r="P62" s="228"/>
      <c r="Q62" s="228"/>
    </row>
    <row r="63" spans="1:17" x14ac:dyDescent="0.25">
      <c r="M63" s="223"/>
      <c r="N63" s="223">
        <v>2015</v>
      </c>
      <c r="O63" s="223">
        <v>2025</v>
      </c>
      <c r="P63" s="223">
        <v>2035</v>
      </c>
      <c r="Q63" s="223">
        <v>2050</v>
      </c>
    </row>
    <row r="64" spans="1:17" x14ac:dyDescent="0.25">
      <c r="M64" s="223" t="s">
        <v>21</v>
      </c>
      <c r="N64" s="223">
        <f>H24*$Q$61*1000</f>
        <v>55537</v>
      </c>
      <c r="O64" s="223">
        <f t="shared" ref="O64:Q68" si="8">I24*$Q$61*1000</f>
        <v>39786</v>
      </c>
      <c r="P64" s="223">
        <f t="shared" si="8"/>
        <v>22154</v>
      </c>
      <c r="Q64" s="223">
        <f t="shared" si="8"/>
        <v>1728.9999999999998</v>
      </c>
    </row>
    <row r="65" spans="13:17" x14ac:dyDescent="0.25">
      <c r="M65" s="223" t="s">
        <v>22</v>
      </c>
      <c r="N65" s="223">
        <f t="shared" ref="N65:N68" si="9">H25*$Q$61*1000</f>
        <v>7410</v>
      </c>
      <c r="O65" s="223">
        <f t="shared" si="8"/>
        <v>4939.9999999999991</v>
      </c>
      <c r="P65" s="223">
        <f t="shared" si="8"/>
        <v>2679</v>
      </c>
      <c r="Q65" s="223">
        <f t="shared" si="8"/>
        <v>304</v>
      </c>
    </row>
    <row r="66" spans="13:17" x14ac:dyDescent="0.25">
      <c r="M66" s="223" t="s">
        <v>23</v>
      </c>
      <c r="N66" s="223">
        <f t="shared" si="9"/>
        <v>56.999999999999993</v>
      </c>
      <c r="O66" s="223">
        <f t="shared" si="8"/>
        <v>1558</v>
      </c>
      <c r="P66" s="223">
        <f t="shared" si="8"/>
        <v>4522</v>
      </c>
      <c r="Q66" s="223">
        <f t="shared" si="8"/>
        <v>8759</v>
      </c>
    </row>
    <row r="67" spans="13:17" x14ac:dyDescent="0.25">
      <c r="M67" s="223" t="s">
        <v>20</v>
      </c>
      <c r="N67" s="223">
        <f t="shared" si="9"/>
        <v>1861.9999999999998</v>
      </c>
      <c r="O67" s="223">
        <f t="shared" si="8"/>
        <v>1159</v>
      </c>
      <c r="P67" s="223">
        <f t="shared" si="8"/>
        <v>627</v>
      </c>
      <c r="Q67" s="223">
        <f t="shared" si="8"/>
        <v>19</v>
      </c>
    </row>
    <row r="68" spans="13:17" x14ac:dyDescent="0.25">
      <c r="M68" s="223" t="s">
        <v>18</v>
      </c>
      <c r="N68" s="223">
        <f t="shared" si="9"/>
        <v>152</v>
      </c>
      <c r="O68" s="223">
        <f t="shared" si="8"/>
        <v>722</v>
      </c>
      <c r="P68" s="223">
        <f t="shared" si="8"/>
        <v>1159</v>
      </c>
      <c r="Q68" s="223">
        <f t="shared" si="8"/>
        <v>1653</v>
      </c>
    </row>
    <row r="69" spans="13:17" x14ac:dyDescent="0.25">
      <c r="M69" s="230" t="s">
        <v>550</v>
      </c>
      <c r="O69">
        <f t="shared" ref="O69:Q69" si="10">(C30-I30)*$Q$61*1000</f>
        <v>5016</v>
      </c>
      <c r="P69">
        <f t="shared" si="10"/>
        <v>14516</v>
      </c>
      <c r="Q69">
        <f t="shared" si="10"/>
        <v>26258</v>
      </c>
    </row>
  </sheetData>
  <mergeCells count="7">
    <mergeCell ref="A48:A49"/>
    <mergeCell ref="A2:E2"/>
    <mergeCell ref="G2:K2"/>
    <mergeCell ref="M2:Q2"/>
    <mergeCell ref="S2:W2"/>
    <mergeCell ref="A22:E22"/>
    <mergeCell ref="G22:K22"/>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zoomScale="70" zoomScaleNormal="70" workbookViewId="0">
      <selection activeCell="X11" sqref="X11"/>
    </sheetView>
  </sheetViews>
  <sheetFormatPr defaultRowHeight="15" x14ac:dyDescent="0.25"/>
  <cols>
    <col min="1" max="1" width="23.7109375" customWidth="1"/>
    <col min="2" max="2" width="10.140625" bestFit="1" customWidth="1"/>
    <col min="3" max="5" width="10" customWidth="1"/>
    <col min="7" max="7" width="24.140625" customWidth="1"/>
    <col min="8" max="11" width="10.7109375" customWidth="1"/>
    <col min="13" max="13" width="22" customWidth="1"/>
    <col min="14" max="17" width="11.5703125" customWidth="1"/>
    <col min="19" max="19" width="21.7109375" customWidth="1"/>
    <col min="20" max="23" width="11.5703125" customWidth="1"/>
    <col min="25" max="25" width="11.85546875" customWidth="1"/>
  </cols>
  <sheetData>
    <row r="1" spans="1:25" ht="46.5" x14ac:dyDescent="0.7">
      <c r="A1" s="211" t="s">
        <v>537</v>
      </c>
    </row>
    <row r="2" spans="1:25" ht="32.25" customHeight="1" x14ac:dyDescent="0.25">
      <c r="A2" s="231" t="s">
        <v>25</v>
      </c>
      <c r="B2" s="232"/>
      <c r="C2" s="232"/>
      <c r="D2" s="232"/>
      <c r="E2" s="233"/>
      <c r="G2" s="231" t="s">
        <v>30</v>
      </c>
      <c r="H2" s="232"/>
      <c r="I2" s="232"/>
      <c r="J2" s="232"/>
      <c r="K2" s="233"/>
      <c r="M2" s="231" t="s">
        <v>31</v>
      </c>
      <c r="N2" s="232"/>
      <c r="O2" s="232"/>
      <c r="P2" s="232"/>
      <c r="Q2" s="233"/>
      <c r="R2" s="10"/>
      <c r="S2" s="231" t="s">
        <v>32</v>
      </c>
      <c r="T2" s="232"/>
      <c r="U2" s="232"/>
      <c r="V2" s="232"/>
      <c r="W2" s="233"/>
    </row>
    <row r="3" spans="1:25" x14ac:dyDescent="0.25">
      <c r="A3" s="11" t="s">
        <v>0</v>
      </c>
      <c r="B3" s="12">
        <v>2015</v>
      </c>
      <c r="C3" s="12">
        <v>2025</v>
      </c>
      <c r="D3" s="12">
        <v>2035</v>
      </c>
      <c r="E3" s="13">
        <v>2050</v>
      </c>
      <c r="G3" s="11" t="s">
        <v>0</v>
      </c>
      <c r="H3" s="12">
        <v>2015</v>
      </c>
      <c r="I3" s="12">
        <v>2025</v>
      </c>
      <c r="J3" s="12">
        <v>2035</v>
      </c>
      <c r="K3" s="13">
        <v>2050</v>
      </c>
      <c r="M3" s="11" t="s">
        <v>0</v>
      </c>
      <c r="N3" s="12">
        <v>2015</v>
      </c>
      <c r="O3" s="12">
        <v>2025</v>
      </c>
      <c r="P3" s="12">
        <v>2035</v>
      </c>
      <c r="Q3" s="13">
        <v>2050</v>
      </c>
      <c r="R3" s="2"/>
      <c r="S3" s="11" t="s">
        <v>0</v>
      </c>
      <c r="T3" s="12">
        <v>2015</v>
      </c>
      <c r="U3" s="12">
        <v>2025</v>
      </c>
      <c r="V3" s="12">
        <v>2035</v>
      </c>
      <c r="W3" s="13">
        <v>2050</v>
      </c>
    </row>
    <row r="4" spans="1:25" x14ac:dyDescent="0.25">
      <c r="A4" s="1" t="s">
        <v>1</v>
      </c>
      <c r="B4" s="2">
        <v>0</v>
      </c>
      <c r="C4" s="2">
        <v>0</v>
      </c>
      <c r="D4" s="2">
        <v>0</v>
      </c>
      <c r="E4" s="3">
        <v>0</v>
      </c>
      <c r="G4" s="1" t="s">
        <v>1</v>
      </c>
      <c r="H4" s="4">
        <v>86</v>
      </c>
      <c r="I4" s="4">
        <v>520</v>
      </c>
      <c r="J4" s="4">
        <v>981</v>
      </c>
      <c r="K4" s="5">
        <v>1806</v>
      </c>
      <c r="L4" s="21"/>
      <c r="M4" s="1" t="s">
        <v>13</v>
      </c>
      <c r="N4" s="4">
        <v>0</v>
      </c>
      <c r="O4" s="4">
        <v>0</v>
      </c>
      <c r="P4" s="4">
        <v>0</v>
      </c>
      <c r="Q4" s="5">
        <v>0</v>
      </c>
      <c r="R4" s="2"/>
      <c r="S4" s="1" t="s">
        <v>13</v>
      </c>
      <c r="T4" s="4">
        <v>41.2</v>
      </c>
      <c r="U4" s="4">
        <v>257.60000000000002</v>
      </c>
      <c r="V4" s="4">
        <v>483.3</v>
      </c>
      <c r="W4" s="5">
        <v>859.4</v>
      </c>
      <c r="Y4" s="23"/>
    </row>
    <row r="5" spans="1:25" x14ac:dyDescent="0.25">
      <c r="A5" s="1" t="s">
        <v>3</v>
      </c>
      <c r="B5" s="4">
        <v>7579</v>
      </c>
      <c r="C5" s="4">
        <v>6982</v>
      </c>
      <c r="D5" s="4">
        <v>6497</v>
      </c>
      <c r="E5" s="5">
        <v>5884</v>
      </c>
      <c r="G5" s="1" t="s">
        <v>3</v>
      </c>
      <c r="H5" s="4">
        <v>7602</v>
      </c>
      <c r="I5" s="4">
        <v>7136</v>
      </c>
      <c r="J5" s="4">
        <v>6662</v>
      </c>
      <c r="K5" s="5">
        <v>6344</v>
      </c>
      <c r="L5" s="21"/>
      <c r="M5" s="1" t="s">
        <v>14</v>
      </c>
      <c r="N5" s="4">
        <v>3874</v>
      </c>
      <c r="O5" s="4">
        <v>3130</v>
      </c>
      <c r="P5" s="4">
        <v>2273</v>
      </c>
      <c r="Q5" s="5">
        <v>928</v>
      </c>
      <c r="R5" s="2"/>
      <c r="S5" s="1" t="s">
        <v>14</v>
      </c>
      <c r="T5" s="4">
        <v>3831.5</v>
      </c>
      <c r="U5" s="4">
        <v>2865.9</v>
      </c>
      <c r="V5" s="4">
        <v>1777.3</v>
      </c>
      <c r="W5" s="5">
        <v>46.4</v>
      </c>
      <c r="Y5" s="92"/>
    </row>
    <row r="6" spans="1:25" x14ac:dyDescent="0.25">
      <c r="A6" s="1" t="s">
        <v>4</v>
      </c>
      <c r="B6" s="4">
        <v>1150</v>
      </c>
      <c r="C6" s="4">
        <v>932</v>
      </c>
      <c r="D6" s="4">
        <v>635</v>
      </c>
      <c r="E6" s="5">
        <v>251</v>
      </c>
      <c r="G6" s="1" t="s">
        <v>4</v>
      </c>
      <c r="H6" s="4">
        <v>1157</v>
      </c>
      <c r="I6" s="4">
        <v>950</v>
      </c>
      <c r="J6" s="4">
        <v>553</v>
      </c>
      <c r="K6" s="5">
        <v>179</v>
      </c>
      <c r="L6" s="21"/>
      <c r="M6" s="1" t="s">
        <v>15</v>
      </c>
      <c r="N6" s="89">
        <v>7118</v>
      </c>
      <c r="O6" s="89">
        <v>7192</v>
      </c>
      <c r="P6" s="89">
        <v>7125</v>
      </c>
      <c r="Q6" s="90">
        <v>7158</v>
      </c>
      <c r="R6" s="4"/>
      <c r="S6" s="1" t="s">
        <v>15</v>
      </c>
      <c r="T6" s="89">
        <v>7117.9</v>
      </c>
      <c r="U6" s="89">
        <v>7191.7</v>
      </c>
      <c r="V6" s="89">
        <v>7124.6</v>
      </c>
      <c r="W6" s="90">
        <v>7158.4</v>
      </c>
      <c r="Y6" s="92"/>
    </row>
    <row r="7" spans="1:25" x14ac:dyDescent="0.25">
      <c r="A7" s="1" t="s">
        <v>5</v>
      </c>
      <c r="B7" s="4">
        <v>116</v>
      </c>
      <c r="C7" s="4">
        <v>653</v>
      </c>
      <c r="D7" s="4">
        <v>1231</v>
      </c>
      <c r="E7" s="5">
        <v>1698</v>
      </c>
      <c r="G7" s="1" t="s">
        <v>5</v>
      </c>
      <c r="H7" s="4">
        <v>203</v>
      </c>
      <c r="I7" s="4">
        <v>1137</v>
      </c>
      <c r="J7" s="4">
        <v>2196</v>
      </c>
      <c r="K7" s="5">
        <v>3025</v>
      </c>
      <c r="M7" s="1" t="s">
        <v>8</v>
      </c>
      <c r="N7" s="4">
        <v>2897</v>
      </c>
      <c r="O7" s="4">
        <v>2975</v>
      </c>
      <c r="P7" s="4">
        <v>2997</v>
      </c>
      <c r="Q7" s="5">
        <v>3094</v>
      </c>
      <c r="R7" s="4"/>
      <c r="S7" s="1" t="s">
        <v>8</v>
      </c>
      <c r="T7" s="4">
        <v>2815.1</v>
      </c>
      <c r="U7" s="4">
        <v>2459.6999999999998</v>
      </c>
      <c r="V7" s="4">
        <v>2030.6</v>
      </c>
      <c r="W7" s="5">
        <v>1375</v>
      </c>
      <c r="Y7" s="92"/>
    </row>
    <row r="8" spans="1:25" x14ac:dyDescent="0.25">
      <c r="A8" s="1" t="s">
        <v>6</v>
      </c>
      <c r="B8" s="4">
        <v>13</v>
      </c>
      <c r="C8" s="4">
        <v>96</v>
      </c>
      <c r="D8" s="4">
        <v>327</v>
      </c>
      <c r="E8" s="5">
        <v>679</v>
      </c>
      <c r="G8" s="1" t="s">
        <v>6</v>
      </c>
      <c r="H8" s="4">
        <v>56</v>
      </c>
      <c r="I8" s="4">
        <v>348</v>
      </c>
      <c r="J8" s="4">
        <v>757</v>
      </c>
      <c r="K8" s="5">
        <v>1256</v>
      </c>
      <c r="M8" s="1" t="s">
        <v>9</v>
      </c>
      <c r="N8" s="4">
        <v>2791</v>
      </c>
      <c r="O8" s="4">
        <v>3390</v>
      </c>
      <c r="P8" s="4">
        <v>3961</v>
      </c>
      <c r="Q8" s="5">
        <v>4967</v>
      </c>
      <c r="R8" s="4"/>
      <c r="S8" s="1" t="s">
        <v>9</v>
      </c>
      <c r="T8" s="4">
        <v>2587.9</v>
      </c>
      <c r="U8" s="4">
        <v>2120.3000000000002</v>
      </c>
      <c r="V8" s="4">
        <v>1578.3</v>
      </c>
      <c r="W8" s="5">
        <v>730.4</v>
      </c>
      <c r="Y8" s="23"/>
    </row>
    <row r="9" spans="1:25" x14ac:dyDescent="0.25">
      <c r="A9" s="1" t="s">
        <v>7</v>
      </c>
      <c r="B9" s="4">
        <v>973</v>
      </c>
      <c r="C9" s="4">
        <v>781</v>
      </c>
      <c r="D9" s="4">
        <v>596</v>
      </c>
      <c r="E9" s="5">
        <v>295</v>
      </c>
      <c r="G9" s="1" t="s">
        <v>7</v>
      </c>
      <c r="H9" s="4">
        <v>955</v>
      </c>
      <c r="I9" s="4">
        <v>688</v>
      </c>
      <c r="J9" s="4">
        <v>427</v>
      </c>
      <c r="K9" s="5">
        <v>0</v>
      </c>
      <c r="L9" s="21"/>
      <c r="M9" s="1" t="s">
        <v>16</v>
      </c>
      <c r="N9" s="4">
        <v>393</v>
      </c>
      <c r="O9" s="4">
        <v>293</v>
      </c>
      <c r="P9" s="4">
        <v>180</v>
      </c>
      <c r="Q9" s="5">
        <v>0</v>
      </c>
      <c r="R9" s="2"/>
      <c r="S9" s="1" t="s">
        <v>16</v>
      </c>
      <c r="T9" s="4">
        <v>392.7</v>
      </c>
      <c r="U9" s="4">
        <v>292.5</v>
      </c>
      <c r="V9" s="4">
        <v>179.6</v>
      </c>
      <c r="W9" s="5">
        <v>0</v>
      </c>
      <c r="Y9" s="23"/>
    </row>
    <row r="10" spans="1:25" x14ac:dyDescent="0.25">
      <c r="A10" s="1" t="s">
        <v>8</v>
      </c>
      <c r="B10" s="4">
        <v>5613</v>
      </c>
      <c r="C10" s="4">
        <v>4497</v>
      </c>
      <c r="D10" s="4">
        <v>3322</v>
      </c>
      <c r="E10" s="5">
        <v>1199</v>
      </c>
      <c r="G10" s="1" t="s">
        <v>8</v>
      </c>
      <c r="H10" s="4">
        <v>5547</v>
      </c>
      <c r="I10" s="4">
        <v>4238</v>
      </c>
      <c r="J10" s="4">
        <v>2966</v>
      </c>
      <c r="K10" s="5">
        <v>1001</v>
      </c>
      <c r="L10" s="21"/>
      <c r="M10" s="1" t="s">
        <v>17</v>
      </c>
      <c r="N10" s="4">
        <v>1251</v>
      </c>
      <c r="O10" s="4">
        <v>1331</v>
      </c>
      <c r="P10" s="4">
        <v>1390</v>
      </c>
      <c r="Q10" s="5">
        <v>1512</v>
      </c>
      <c r="R10" s="4"/>
      <c r="S10" s="1" t="s">
        <v>17</v>
      </c>
      <c r="T10" s="4">
        <v>1343</v>
      </c>
      <c r="U10" s="4">
        <v>1908</v>
      </c>
      <c r="V10" s="4">
        <v>2472.1999999999998</v>
      </c>
      <c r="W10" s="5">
        <v>3437.4</v>
      </c>
      <c r="Y10" s="23"/>
    </row>
    <row r="11" spans="1:25" x14ac:dyDescent="0.25">
      <c r="A11" s="1" t="s">
        <v>9</v>
      </c>
      <c r="B11" s="4">
        <v>4846</v>
      </c>
      <c r="C11" s="4">
        <v>6290</v>
      </c>
      <c r="D11" s="4">
        <v>8084</v>
      </c>
      <c r="E11" s="5">
        <v>11840</v>
      </c>
      <c r="G11" s="1" t="s">
        <v>9</v>
      </c>
      <c r="H11" s="4">
        <v>4413</v>
      </c>
      <c r="I11" s="4">
        <v>3510</v>
      </c>
      <c r="J11" s="4">
        <v>1957</v>
      </c>
      <c r="K11" s="5">
        <v>243</v>
      </c>
      <c r="L11" s="21"/>
      <c r="M11" s="7" t="s">
        <v>12</v>
      </c>
      <c r="N11" s="8">
        <v>18323</v>
      </c>
      <c r="O11" s="8">
        <v>18311</v>
      </c>
      <c r="P11" s="8">
        <v>17925</v>
      </c>
      <c r="Q11" s="9">
        <v>17660</v>
      </c>
      <c r="R11" s="4"/>
      <c r="S11" s="7" t="s">
        <v>12</v>
      </c>
      <c r="T11" s="8">
        <v>18129.3</v>
      </c>
      <c r="U11" s="8">
        <v>17095.7</v>
      </c>
      <c r="V11" s="8">
        <v>15646</v>
      </c>
      <c r="W11" s="9">
        <v>13607</v>
      </c>
    </row>
    <row r="12" spans="1:25" x14ac:dyDescent="0.25">
      <c r="A12" s="1" t="s">
        <v>10</v>
      </c>
      <c r="B12" s="4">
        <v>10379</v>
      </c>
      <c r="C12" s="4">
        <v>8154</v>
      </c>
      <c r="D12" s="4">
        <v>5375</v>
      </c>
      <c r="E12" s="5">
        <v>1439</v>
      </c>
      <c r="G12" s="1" t="s">
        <v>10</v>
      </c>
      <c r="H12" s="4">
        <v>10176</v>
      </c>
      <c r="I12" s="4">
        <v>7292</v>
      </c>
      <c r="J12" s="4">
        <v>4494</v>
      </c>
      <c r="K12" s="5">
        <v>0</v>
      </c>
      <c r="L12" s="21"/>
    </row>
    <row r="13" spans="1:25" x14ac:dyDescent="0.25">
      <c r="A13" s="1" t="s">
        <v>11</v>
      </c>
      <c r="B13" s="4">
        <v>644</v>
      </c>
      <c r="C13" s="4">
        <v>853</v>
      </c>
      <c r="D13" s="4">
        <v>1053</v>
      </c>
      <c r="E13" s="5">
        <v>1362</v>
      </c>
      <c r="G13" s="1" t="s">
        <v>11</v>
      </c>
      <c r="H13" s="4">
        <v>741</v>
      </c>
      <c r="I13" s="4">
        <v>1356</v>
      </c>
      <c r="J13" s="4">
        <v>1827</v>
      </c>
      <c r="K13" s="5">
        <v>2274</v>
      </c>
      <c r="L13" s="21"/>
      <c r="N13" s="21"/>
      <c r="O13" s="21"/>
      <c r="P13" s="21"/>
      <c r="Q13" s="21"/>
      <c r="T13" s="21"/>
      <c r="U13" s="21"/>
      <c r="V13" s="21"/>
      <c r="W13" s="21"/>
    </row>
    <row r="14" spans="1:25" x14ac:dyDescent="0.25">
      <c r="A14" s="7" t="s">
        <v>12</v>
      </c>
      <c r="B14" s="8">
        <f>SUM(B4:B13)</f>
        <v>31313</v>
      </c>
      <c r="C14" s="8">
        <f>SUM(C4:C13)</f>
        <v>29238</v>
      </c>
      <c r="D14" s="8">
        <f>SUM(D4:D13)</f>
        <v>27120</v>
      </c>
      <c r="E14" s="9">
        <f>SUM(E4:E13)</f>
        <v>24647</v>
      </c>
      <c r="G14" s="7" t="s">
        <v>12</v>
      </c>
      <c r="H14" s="8">
        <f>SUM(H4:H13)</f>
        <v>30936</v>
      </c>
      <c r="I14" s="8">
        <f>SUM(I4:I13)</f>
        <v>27175</v>
      </c>
      <c r="J14" s="8">
        <f>SUM(J4:J13)</f>
        <v>22820</v>
      </c>
      <c r="K14" s="9">
        <f>SUM(K4:K13)</f>
        <v>16128</v>
      </c>
    </row>
    <row r="15" spans="1:25" x14ac:dyDescent="0.25">
      <c r="L15" s="22"/>
    </row>
    <row r="16" spans="1:25" x14ac:dyDescent="0.25">
      <c r="B16" s="21"/>
      <c r="C16" s="21"/>
      <c r="D16" s="21"/>
      <c r="E16" s="21"/>
      <c r="H16" s="21"/>
      <c r="I16" s="21"/>
      <c r="J16" s="21"/>
      <c r="K16" s="21"/>
      <c r="L16" s="22"/>
      <c r="M16" s="21"/>
      <c r="N16" s="21"/>
      <c r="O16" s="21"/>
      <c r="P16" s="21"/>
    </row>
    <row r="17" spans="1:23" x14ac:dyDescent="0.25">
      <c r="B17" s="21"/>
      <c r="C17" s="21"/>
      <c r="D17" s="21"/>
      <c r="E17" s="21"/>
      <c r="H17" s="21"/>
      <c r="I17" s="21"/>
      <c r="J17" s="21"/>
      <c r="K17" s="30"/>
      <c r="L17" s="22"/>
      <c r="M17" s="21"/>
      <c r="N17" s="21"/>
      <c r="O17" s="21"/>
      <c r="P17" s="21"/>
    </row>
    <row r="18" spans="1:23" x14ac:dyDescent="0.25">
      <c r="L18" s="22"/>
    </row>
    <row r="19" spans="1:23" x14ac:dyDescent="0.25">
      <c r="B19" s="21"/>
      <c r="C19" s="21"/>
      <c r="D19" s="21"/>
      <c r="E19" s="21"/>
      <c r="H19" s="21"/>
      <c r="I19" s="21"/>
      <c r="J19" s="21"/>
      <c r="K19" s="21"/>
      <c r="L19" s="22"/>
    </row>
    <row r="20" spans="1:23" x14ac:dyDescent="0.25">
      <c r="B20" s="21"/>
      <c r="C20" s="21"/>
      <c r="D20" s="21"/>
      <c r="E20" s="21"/>
      <c r="H20" s="23"/>
      <c r="I20" s="23"/>
      <c r="J20" s="23"/>
      <c r="K20" s="23"/>
      <c r="L20" s="22"/>
      <c r="M20" s="21"/>
      <c r="N20" s="21"/>
      <c r="O20" s="21"/>
      <c r="P20" s="21"/>
    </row>
    <row r="21" spans="1:23" x14ac:dyDescent="0.25">
      <c r="L21" s="22"/>
    </row>
    <row r="22" spans="1:23" ht="33.75" customHeight="1" x14ac:dyDescent="0.25">
      <c r="A22" s="231" t="s">
        <v>198</v>
      </c>
      <c r="B22" s="232"/>
      <c r="C22" s="232"/>
      <c r="D22" s="232"/>
      <c r="E22" s="233"/>
      <c r="G22" s="231" t="s">
        <v>199</v>
      </c>
      <c r="H22" s="232"/>
      <c r="I22" s="232"/>
      <c r="J22" s="232"/>
      <c r="K22" s="233"/>
      <c r="L22" s="22"/>
      <c r="M22" s="231" t="s">
        <v>35</v>
      </c>
      <c r="N22" s="232"/>
      <c r="O22" s="232"/>
      <c r="P22" s="232"/>
      <c r="Q22" s="233"/>
      <c r="S22" s="231" t="s">
        <v>36</v>
      </c>
      <c r="T22" s="232"/>
      <c r="U22" s="232"/>
      <c r="V22" s="232"/>
      <c r="W22" s="233"/>
    </row>
    <row r="23" spans="1:23" x14ac:dyDescent="0.25">
      <c r="A23" s="14" t="s">
        <v>0</v>
      </c>
      <c r="B23" s="15">
        <v>2015</v>
      </c>
      <c r="C23" s="15">
        <v>2025</v>
      </c>
      <c r="D23" s="15">
        <v>2035</v>
      </c>
      <c r="E23" s="16">
        <v>2050</v>
      </c>
      <c r="G23" s="14" t="s">
        <v>0</v>
      </c>
      <c r="H23" s="15">
        <v>2015</v>
      </c>
      <c r="I23" s="15">
        <v>2025</v>
      </c>
      <c r="J23" s="15">
        <v>2035</v>
      </c>
      <c r="K23" s="16">
        <v>2050</v>
      </c>
      <c r="M23" s="11" t="s">
        <v>0</v>
      </c>
      <c r="N23" s="12">
        <v>2015</v>
      </c>
      <c r="O23" s="12">
        <v>2025</v>
      </c>
      <c r="P23" s="12">
        <v>2035</v>
      </c>
      <c r="Q23" s="13">
        <v>2050</v>
      </c>
      <c r="S23" s="11" t="s">
        <v>0</v>
      </c>
      <c r="T23" s="12">
        <v>2015</v>
      </c>
      <c r="U23" s="12">
        <v>2025</v>
      </c>
      <c r="V23" s="12">
        <v>2035</v>
      </c>
      <c r="W23" s="13">
        <v>2050</v>
      </c>
    </row>
    <row r="24" spans="1:23" x14ac:dyDescent="0.25">
      <c r="A24" s="1" t="s">
        <v>21</v>
      </c>
      <c r="B24" s="4">
        <v>28</v>
      </c>
      <c r="C24" s="4">
        <v>23</v>
      </c>
      <c r="D24" s="4">
        <v>20</v>
      </c>
      <c r="E24" s="5">
        <v>17</v>
      </c>
      <c r="G24" s="1" t="s">
        <v>21</v>
      </c>
      <c r="H24" s="4">
        <v>28</v>
      </c>
      <c r="I24" s="4">
        <v>23</v>
      </c>
      <c r="J24" s="4">
        <v>11</v>
      </c>
      <c r="K24" s="5">
        <v>1</v>
      </c>
      <c r="M24" s="1" t="s">
        <v>18</v>
      </c>
      <c r="N24" s="4">
        <v>95</v>
      </c>
      <c r="O24" s="4">
        <v>88</v>
      </c>
      <c r="P24" s="4">
        <v>68</v>
      </c>
      <c r="Q24" s="5">
        <v>14</v>
      </c>
      <c r="S24" s="1" t="s">
        <v>18</v>
      </c>
      <c r="T24" s="4">
        <v>522</v>
      </c>
      <c r="U24" s="4">
        <v>2565</v>
      </c>
      <c r="V24" s="4">
        <v>4521</v>
      </c>
      <c r="W24" s="5">
        <v>7443</v>
      </c>
    </row>
    <row r="25" spans="1:23" x14ac:dyDescent="0.25">
      <c r="A25" s="1" t="s">
        <v>22</v>
      </c>
      <c r="B25" s="4">
        <v>4</v>
      </c>
      <c r="C25" s="4">
        <v>3</v>
      </c>
      <c r="D25" s="4">
        <v>3</v>
      </c>
      <c r="E25" s="5">
        <v>2</v>
      </c>
      <c r="G25" s="1" t="s">
        <v>22</v>
      </c>
      <c r="H25" s="4">
        <v>4</v>
      </c>
      <c r="I25" s="4">
        <v>3</v>
      </c>
      <c r="J25" s="4">
        <v>1</v>
      </c>
      <c r="K25" s="5">
        <v>0</v>
      </c>
      <c r="M25" s="1" t="s">
        <v>19</v>
      </c>
      <c r="N25" s="4">
        <v>274</v>
      </c>
      <c r="O25" s="4">
        <v>538</v>
      </c>
      <c r="P25" s="4">
        <v>886</v>
      </c>
      <c r="Q25" s="5">
        <v>1575</v>
      </c>
      <c r="S25" s="1" t="s">
        <v>19</v>
      </c>
      <c r="T25" s="4">
        <v>225</v>
      </c>
      <c r="U25" s="4">
        <v>199</v>
      </c>
      <c r="V25" s="4">
        <v>178</v>
      </c>
      <c r="W25" s="5">
        <v>150</v>
      </c>
    </row>
    <row r="26" spans="1:23" x14ac:dyDescent="0.25">
      <c r="A26" s="1" t="s">
        <v>23</v>
      </c>
      <c r="B26" s="4">
        <v>0</v>
      </c>
      <c r="C26" s="4">
        <v>0</v>
      </c>
      <c r="D26" s="4">
        <v>0</v>
      </c>
      <c r="E26" s="5">
        <v>0</v>
      </c>
      <c r="G26" s="1" t="s">
        <v>23</v>
      </c>
      <c r="H26" s="4">
        <v>0</v>
      </c>
      <c r="I26" s="4">
        <v>0</v>
      </c>
      <c r="J26" s="4">
        <v>2</v>
      </c>
      <c r="K26" s="5">
        <v>5</v>
      </c>
      <c r="M26" s="1" t="s">
        <v>20</v>
      </c>
      <c r="N26" s="4">
        <v>7907</v>
      </c>
      <c r="O26" s="4">
        <v>8616</v>
      </c>
      <c r="P26" s="4">
        <v>8871</v>
      </c>
      <c r="Q26" s="5">
        <v>8349</v>
      </c>
      <c r="S26" s="1" t="s">
        <v>20</v>
      </c>
      <c r="T26" s="4">
        <v>7236</v>
      </c>
      <c r="U26" s="4">
        <v>5013</v>
      </c>
      <c r="V26" s="4">
        <v>2979</v>
      </c>
      <c r="W26" s="5">
        <v>99</v>
      </c>
    </row>
    <row r="27" spans="1:23" x14ac:dyDescent="0.25">
      <c r="A27" s="1" t="s">
        <v>20</v>
      </c>
      <c r="B27" s="4">
        <v>1</v>
      </c>
      <c r="C27" s="4">
        <v>1</v>
      </c>
      <c r="D27" s="4">
        <v>1</v>
      </c>
      <c r="E27" s="5">
        <v>1</v>
      </c>
      <c r="G27" s="1" t="s">
        <v>20</v>
      </c>
      <c r="H27" s="4">
        <v>1</v>
      </c>
      <c r="I27" s="4">
        <v>1</v>
      </c>
      <c r="J27" s="4">
        <v>0</v>
      </c>
      <c r="K27" s="5">
        <v>0</v>
      </c>
      <c r="M27" s="1" t="s">
        <v>8</v>
      </c>
      <c r="N27" s="4">
        <v>105</v>
      </c>
      <c r="O27" s="4">
        <v>103</v>
      </c>
      <c r="P27" s="4">
        <v>90</v>
      </c>
      <c r="Q27" s="5">
        <v>49</v>
      </c>
      <c r="S27" s="1" t="s">
        <v>8</v>
      </c>
      <c r="T27" s="4">
        <v>100</v>
      </c>
      <c r="U27" s="4">
        <v>83</v>
      </c>
      <c r="V27" s="4">
        <v>69</v>
      </c>
      <c r="W27" s="5">
        <v>49</v>
      </c>
    </row>
    <row r="28" spans="1:23" x14ac:dyDescent="0.25">
      <c r="A28" s="1" t="s">
        <v>18</v>
      </c>
      <c r="B28" s="4">
        <v>0</v>
      </c>
      <c r="C28" s="4">
        <v>0</v>
      </c>
      <c r="D28" s="4">
        <v>0</v>
      </c>
      <c r="E28" s="5">
        <v>0</v>
      </c>
      <c r="G28" s="1" t="s">
        <v>18</v>
      </c>
      <c r="H28" s="4">
        <v>0</v>
      </c>
      <c r="I28" s="4">
        <v>0</v>
      </c>
      <c r="J28" s="4">
        <v>1</v>
      </c>
      <c r="K28" s="5">
        <v>1</v>
      </c>
      <c r="M28" s="7" t="s">
        <v>12</v>
      </c>
      <c r="N28" s="8">
        <v>8381</v>
      </c>
      <c r="O28" s="8">
        <v>9344</v>
      </c>
      <c r="P28" s="8">
        <v>9914</v>
      </c>
      <c r="Q28" s="9">
        <v>9987</v>
      </c>
      <c r="S28" s="7" t="s">
        <v>12</v>
      </c>
      <c r="T28" s="8">
        <v>8084</v>
      </c>
      <c r="U28" s="8">
        <v>7861</v>
      </c>
      <c r="V28" s="8">
        <v>7747</v>
      </c>
      <c r="W28" s="9">
        <v>7742</v>
      </c>
    </row>
    <row r="29" spans="1:23" x14ac:dyDescent="0.25">
      <c r="A29" s="6" t="s">
        <v>24</v>
      </c>
      <c r="B29" s="18">
        <v>0</v>
      </c>
      <c r="C29" s="18">
        <v>0</v>
      </c>
      <c r="D29" s="18">
        <v>0</v>
      </c>
      <c r="E29" s="19">
        <v>0</v>
      </c>
      <c r="G29" s="1" t="s">
        <v>24</v>
      </c>
      <c r="H29" s="4">
        <v>0</v>
      </c>
      <c r="I29" s="4">
        <v>0</v>
      </c>
      <c r="J29" s="4">
        <v>0</v>
      </c>
      <c r="K29" s="5">
        <v>0</v>
      </c>
    </row>
    <row r="30" spans="1:23" x14ac:dyDescent="0.25">
      <c r="A30" s="7" t="s">
        <v>12</v>
      </c>
      <c r="B30" s="8">
        <f>SUM(B24:B29)</f>
        <v>33</v>
      </c>
      <c r="C30" s="8">
        <f>SUM(C24:C29)</f>
        <v>27</v>
      </c>
      <c r="D30" s="8">
        <f>SUM(D24:D29)</f>
        <v>24</v>
      </c>
      <c r="E30" s="9">
        <f>SUM(E24:E29)</f>
        <v>20</v>
      </c>
      <c r="G30" s="7" t="s">
        <v>12</v>
      </c>
      <c r="H30" s="8">
        <f>SUM(H24:H29)</f>
        <v>33</v>
      </c>
      <c r="I30" s="8">
        <f>SUM(I24:I29)</f>
        <v>27</v>
      </c>
      <c r="J30" s="8">
        <f>SUM(J24:J29)</f>
        <v>15</v>
      </c>
      <c r="K30" s="9">
        <f>SUM(K24:K29)</f>
        <v>7</v>
      </c>
    </row>
    <row r="32" spans="1:23" ht="30" hidden="1" customHeight="1" x14ac:dyDescent="0.25"/>
    <row r="33" spans="1:11" ht="15" hidden="1" customHeight="1" x14ac:dyDescent="0.25">
      <c r="A33" t="s">
        <v>37</v>
      </c>
      <c r="G33" t="s">
        <v>38</v>
      </c>
    </row>
    <row r="34" spans="1:11" ht="15" hidden="1" customHeight="1" x14ac:dyDescent="0.25">
      <c r="A34" t="s">
        <v>0</v>
      </c>
      <c r="B34">
        <v>2015</v>
      </c>
      <c r="C34">
        <v>2025</v>
      </c>
      <c r="D34">
        <v>2035</v>
      </c>
      <c r="E34">
        <v>2050</v>
      </c>
      <c r="G34" t="s">
        <v>0</v>
      </c>
      <c r="H34">
        <v>2015</v>
      </c>
      <c r="I34">
        <v>2025</v>
      </c>
      <c r="J34">
        <v>2035</v>
      </c>
      <c r="K34">
        <v>2050</v>
      </c>
    </row>
    <row r="35" spans="1:11" ht="15" hidden="1" customHeight="1" x14ac:dyDescent="0.25">
      <c r="A35" t="s">
        <v>41</v>
      </c>
      <c r="B35">
        <v>0.3</v>
      </c>
      <c r="C35">
        <v>0.4</v>
      </c>
      <c r="D35">
        <v>0.5</v>
      </c>
      <c r="E35">
        <v>0.6</v>
      </c>
      <c r="G35" t="s">
        <v>41</v>
      </c>
      <c r="H35">
        <v>0.3</v>
      </c>
      <c r="I35">
        <v>0.4</v>
      </c>
      <c r="J35">
        <v>0.6</v>
      </c>
      <c r="K35">
        <v>0.7</v>
      </c>
    </row>
    <row r="36" spans="1:11" ht="15" hidden="1" customHeight="1" x14ac:dyDescent="0.25">
      <c r="A36" t="s">
        <v>26</v>
      </c>
      <c r="B36">
        <v>0.9</v>
      </c>
      <c r="C36">
        <v>1</v>
      </c>
      <c r="D36">
        <v>1.2</v>
      </c>
      <c r="E36">
        <v>1.5</v>
      </c>
      <c r="G36" t="s">
        <v>26</v>
      </c>
      <c r="H36">
        <v>0.9</v>
      </c>
      <c r="I36">
        <v>0.9</v>
      </c>
      <c r="J36">
        <v>1</v>
      </c>
      <c r="K36">
        <v>1.1000000000000001</v>
      </c>
    </row>
    <row r="37" spans="1:11" ht="15" hidden="1" customHeight="1" x14ac:dyDescent="0.25">
      <c r="A37" t="s">
        <v>39</v>
      </c>
      <c r="B37">
        <v>0.4</v>
      </c>
      <c r="C37">
        <v>0.4</v>
      </c>
      <c r="D37">
        <v>0.4</v>
      </c>
      <c r="E37">
        <v>0.3</v>
      </c>
      <c r="G37" t="s">
        <v>39</v>
      </c>
      <c r="H37">
        <v>0.5</v>
      </c>
      <c r="I37">
        <v>0.5</v>
      </c>
      <c r="J37">
        <v>0.4</v>
      </c>
      <c r="K37">
        <v>0.4</v>
      </c>
    </row>
    <row r="38" spans="1:11" ht="15" hidden="1" customHeight="1" x14ac:dyDescent="0.25">
      <c r="A38" t="s">
        <v>27</v>
      </c>
      <c r="B38">
        <v>0.1</v>
      </c>
      <c r="C38">
        <v>0.1</v>
      </c>
      <c r="D38">
        <v>0.1</v>
      </c>
      <c r="E38">
        <v>0.1</v>
      </c>
      <c r="G38" t="s">
        <v>27</v>
      </c>
      <c r="H38">
        <v>0.1</v>
      </c>
      <c r="I38">
        <v>0.1</v>
      </c>
      <c r="J38">
        <v>0.1</v>
      </c>
      <c r="K38">
        <v>0.1</v>
      </c>
    </row>
    <row r="39" spans="1:11" ht="15" hidden="1" customHeight="1" x14ac:dyDescent="0.25">
      <c r="A39" t="s">
        <v>28</v>
      </c>
      <c r="B39">
        <v>1.8</v>
      </c>
      <c r="C39">
        <v>1.6</v>
      </c>
      <c r="D39">
        <v>1.4</v>
      </c>
      <c r="E39">
        <v>1.3</v>
      </c>
      <c r="G39" t="s">
        <v>28</v>
      </c>
      <c r="H39">
        <v>1.7</v>
      </c>
      <c r="I39">
        <v>1.3</v>
      </c>
      <c r="J39">
        <v>0.9</v>
      </c>
      <c r="K39">
        <v>0.6</v>
      </c>
    </row>
    <row r="40" spans="1:11" ht="15" hidden="1" customHeight="1" x14ac:dyDescent="0.25">
      <c r="A40" t="s">
        <v>29</v>
      </c>
      <c r="B40">
        <v>2.5</v>
      </c>
      <c r="C40">
        <v>3.5</v>
      </c>
      <c r="D40">
        <v>4.5999999999999996</v>
      </c>
      <c r="E40">
        <v>6.1</v>
      </c>
      <c r="G40" t="s">
        <v>29</v>
      </c>
      <c r="H40">
        <v>2.1</v>
      </c>
      <c r="I40">
        <v>2.2000000000000002</v>
      </c>
      <c r="J40">
        <v>2.2000000000000002</v>
      </c>
      <c r="K40">
        <v>2.2000000000000002</v>
      </c>
    </row>
    <row r="41" spans="1:11" ht="15" hidden="1" customHeight="1" x14ac:dyDescent="0.25">
      <c r="A41" t="s">
        <v>40</v>
      </c>
      <c r="B41">
        <v>0.2</v>
      </c>
      <c r="C41">
        <v>0.2</v>
      </c>
      <c r="D41">
        <v>0.2</v>
      </c>
      <c r="E41">
        <v>0.2</v>
      </c>
      <c r="G41" t="s">
        <v>40</v>
      </c>
      <c r="H41">
        <v>0.2</v>
      </c>
      <c r="I41">
        <v>0.2</v>
      </c>
      <c r="J41">
        <v>0.2</v>
      </c>
      <c r="K41">
        <v>0.2</v>
      </c>
    </row>
    <row r="42" spans="1:11" ht="15" hidden="1" customHeight="1" x14ac:dyDescent="0.25">
      <c r="A42" t="s">
        <v>12</v>
      </c>
      <c r="B42">
        <f>SUM(B35:B41)</f>
        <v>6.2</v>
      </c>
      <c r="C42">
        <f>SUM(C35:C41)</f>
        <v>7.2</v>
      </c>
      <c r="D42">
        <f>SUM(D35:D41)</f>
        <v>8.3999999999999986</v>
      </c>
      <c r="E42">
        <f>SUM(E35:E41)</f>
        <v>10.099999999999998</v>
      </c>
      <c r="G42" t="s">
        <v>12</v>
      </c>
      <c r="H42">
        <f>SUM(H35:H41)</f>
        <v>5.8</v>
      </c>
      <c r="I42">
        <f>SUM(I35:I41)</f>
        <v>5.6000000000000005</v>
      </c>
      <c r="J42">
        <f>SUM(J35:J41)</f>
        <v>5.4</v>
      </c>
      <c r="K42">
        <f>SUM(K35:K41)</f>
        <v>5.3000000000000007</v>
      </c>
    </row>
    <row r="43" spans="1:11" ht="15" hidden="1" customHeight="1" x14ac:dyDescent="0.25"/>
    <row r="44" spans="1:11" ht="15" hidden="1" customHeight="1" x14ac:dyDescent="0.25"/>
    <row r="45" spans="1:11" ht="16.5" hidden="1" customHeight="1" x14ac:dyDescent="0.25"/>
    <row r="46" spans="1:11" ht="0.75" customHeight="1" x14ac:dyDescent="0.25"/>
    <row r="47" spans="1:11" ht="33.75" customHeight="1" x14ac:dyDescent="0.25"/>
    <row r="48" spans="1:11" ht="58.5" customHeight="1" x14ac:dyDescent="0.25">
      <c r="A48" s="234" t="s">
        <v>184</v>
      </c>
      <c r="B48" s="17">
        <v>2015</v>
      </c>
      <c r="C48" s="17">
        <v>2025</v>
      </c>
      <c r="D48" s="17">
        <v>2035</v>
      </c>
      <c r="E48" s="17">
        <v>2050</v>
      </c>
    </row>
    <row r="49" spans="1:5" ht="74.25" customHeight="1" x14ac:dyDescent="0.25">
      <c r="A49" s="234"/>
      <c r="B49" s="20">
        <v>103</v>
      </c>
      <c r="C49" s="20">
        <v>493</v>
      </c>
      <c r="D49" s="20">
        <v>855</v>
      </c>
      <c r="E49" s="20">
        <v>1410</v>
      </c>
    </row>
  </sheetData>
  <mergeCells count="9">
    <mergeCell ref="A48:A49"/>
    <mergeCell ref="A2:E2"/>
    <mergeCell ref="G2:K2"/>
    <mergeCell ref="M2:Q2"/>
    <mergeCell ref="S2:W2"/>
    <mergeCell ref="A22:E22"/>
    <mergeCell ref="G22:K22"/>
    <mergeCell ref="M22:Q22"/>
    <mergeCell ref="S22:W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5</vt:i4>
      </vt:variant>
    </vt:vector>
  </HeadingPairs>
  <TitlesOfParts>
    <vt:vector size="20" baseType="lpstr">
      <vt:lpstr>Formatting</vt:lpstr>
      <vt:lpstr>Instructions</vt:lpstr>
      <vt:lpstr>1.Current Trans</vt:lpstr>
      <vt:lpstr>1.Current Heat</vt:lpstr>
      <vt:lpstr>2.Heat Targets</vt:lpstr>
      <vt:lpstr>2.Trans Targets</vt:lpstr>
      <vt:lpstr>2.Electric Targets</vt:lpstr>
      <vt:lpstr>LEAP Scenario</vt:lpstr>
      <vt:lpstr>LEAP Statewide</vt:lpstr>
      <vt:lpstr>LEAP Town</vt:lpstr>
      <vt:lpstr>LEAP Region</vt:lpstr>
      <vt:lpstr>Exchange Example</vt:lpstr>
      <vt:lpstr>Population</vt:lpstr>
      <vt:lpstr>Establishments</vt:lpstr>
      <vt:lpstr>Residential Units</vt:lpstr>
      <vt:lpstr>com_share_region_target</vt:lpstr>
      <vt:lpstr>com_share_state_target</vt:lpstr>
      <vt:lpstr>res_share_region_target</vt:lpstr>
      <vt:lpstr>res_share_state_target</vt:lpstr>
      <vt:lpstr>selected_town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Desrochers</dc:creator>
  <cp:lastModifiedBy>Alison Low</cp:lastModifiedBy>
  <dcterms:created xsi:type="dcterms:W3CDTF">2016-10-03T13:03:02Z</dcterms:created>
  <dcterms:modified xsi:type="dcterms:W3CDTF">2017-05-12T19:14:46Z</dcterms:modified>
</cp:coreProperties>
</file>