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D:\Town Data\Burke\"/>
    </mc:Choice>
  </mc:AlternateContent>
  <bookViews>
    <workbookView xWindow="0" yWindow="0" windowWidth="28800" windowHeight="11610" tabRatio="838" firstSheet="1" activeTab="3"/>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7" i="201" l="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D34" i="201"/>
  <c r="G34" i="201" s="1"/>
  <c r="D33" i="201"/>
  <c r="G33" i="201" s="1"/>
  <c r="D32" i="201"/>
  <c r="G32" i="201" s="1"/>
  <c r="D31" i="201"/>
  <c r="G31" i="201" s="1"/>
  <c r="D30" i="201"/>
  <c r="G30" i="201" s="1"/>
  <c r="D29" i="201"/>
  <c r="G29" i="201" s="1"/>
  <c r="D28" i="201"/>
  <c r="G28" i="201" s="1"/>
  <c r="D27" i="201"/>
  <c r="G27" i="201" s="1"/>
  <c r="D26" i="201"/>
  <c r="G26" i="201" s="1"/>
  <c r="D25" i="201"/>
  <c r="G25" i="201" s="1"/>
  <c r="D24" i="201"/>
  <c r="G24" i="201" s="1"/>
  <c r="D23" i="201"/>
  <c r="G23" i="201" s="1"/>
  <c r="D22" i="201"/>
  <c r="G22" i="201" s="1"/>
  <c r="D21" i="201"/>
  <c r="G21" i="201" s="1"/>
  <c r="D20" i="201"/>
  <c r="D19" i="201"/>
  <c r="G19" i="201" s="1"/>
  <c r="D18" i="201"/>
  <c r="G18" i="201" s="1"/>
  <c r="G17" i="201"/>
  <c r="D17" i="201"/>
  <c r="D16" i="201"/>
  <c r="D15" i="201"/>
  <c r="G15" i="201" s="1"/>
  <c r="G14" i="201"/>
  <c r="D14" i="201"/>
  <c r="G13" i="201"/>
  <c r="D13" i="201"/>
  <c r="D12" i="201"/>
  <c r="D11" i="201"/>
  <c r="G11" i="201" s="1"/>
  <c r="G10" i="201"/>
  <c r="D10" i="201"/>
  <c r="G9" i="201"/>
  <c r="D9" i="201"/>
  <c r="D8" i="201"/>
  <c r="E5" i="201"/>
  <c r="E4" i="201"/>
  <c r="D3" i="201"/>
  <c r="C3" i="201"/>
  <c r="B3" i="201"/>
  <c r="E3" i="201" l="1"/>
  <c r="E34" i="201" s="1"/>
  <c r="H34" i="201" s="1"/>
  <c r="E10" i="201"/>
  <c r="H10" i="201" s="1"/>
  <c r="G8" i="201"/>
  <c r="E8" i="201"/>
  <c r="E54" i="201"/>
  <c r="E50" i="201"/>
  <c r="H50" i="201" s="1"/>
  <c r="E46" i="201"/>
  <c r="E42" i="201"/>
  <c r="H42" i="201" s="1"/>
  <c r="E13" i="201"/>
  <c r="H13" i="201" s="1"/>
  <c r="G20" i="201"/>
  <c r="E22" i="201"/>
  <c r="E32" i="201"/>
  <c r="E9" i="201"/>
  <c r="H9" i="201" s="1"/>
  <c r="G16" i="201"/>
  <c r="E16" i="201"/>
  <c r="H22" i="201"/>
  <c r="E38" i="201"/>
  <c r="G12" i="201"/>
  <c r="E12" i="201"/>
  <c r="E21" i="201"/>
  <c r="H21" i="201" s="1"/>
  <c r="E36" i="201"/>
  <c r="H36" i="201" s="1"/>
  <c r="E11" i="201"/>
  <c r="H11" i="201" s="1"/>
  <c r="E19" i="201"/>
  <c r="H19" i="201" s="1"/>
  <c r="E23" i="201"/>
  <c r="H23" i="201" s="1"/>
  <c r="E25" i="201"/>
  <c r="H25" i="201" s="1"/>
  <c r="E29" i="201"/>
  <c r="H29" i="201" s="1"/>
  <c r="E31" i="201"/>
  <c r="H31" i="201" s="1"/>
  <c r="E33" i="201"/>
  <c r="H33" i="201" s="1"/>
  <c r="E37" i="201"/>
  <c r="H37" i="201" s="1"/>
  <c r="E39" i="201"/>
  <c r="H39" i="201" s="1"/>
  <c r="E41" i="201"/>
  <c r="H41" i="201" s="1"/>
  <c r="E45" i="201"/>
  <c r="H45" i="201" s="1"/>
  <c r="E47" i="201"/>
  <c r="H47" i="201" s="1"/>
  <c r="E49" i="201"/>
  <c r="H49" i="201" s="1"/>
  <c r="E53" i="201"/>
  <c r="H53" i="201" s="1"/>
  <c r="E55" i="201"/>
  <c r="H55" i="201" s="1"/>
  <c r="E57" i="201"/>
  <c r="H57" i="201" s="1"/>
  <c r="H32" i="201"/>
  <c r="H38" i="201"/>
  <c r="H46" i="201"/>
  <c r="H54" i="201"/>
  <c r="E28" i="201" l="1"/>
  <c r="H28" i="201" s="1"/>
  <c r="E18" i="201"/>
  <c r="H18" i="201" s="1"/>
  <c r="E40" i="201"/>
  <c r="H40" i="201" s="1"/>
  <c r="E20" i="201"/>
  <c r="H20" i="201" s="1"/>
  <c r="E48" i="201"/>
  <c r="H48" i="201" s="1"/>
  <c r="E56" i="201"/>
  <c r="H56" i="201" s="1"/>
  <c r="E51" i="201"/>
  <c r="H51" i="201" s="1"/>
  <c r="E43" i="201"/>
  <c r="H43" i="201" s="1"/>
  <c r="E35" i="201"/>
  <c r="H35" i="201" s="1"/>
  <c r="E27" i="201"/>
  <c r="H27" i="201" s="1"/>
  <c r="E15" i="201"/>
  <c r="H15" i="201" s="1"/>
  <c r="E14" i="201"/>
  <c r="H14" i="201" s="1"/>
  <c r="E30" i="201"/>
  <c r="H30" i="201" s="1"/>
  <c r="H16" i="201"/>
  <c r="E24" i="201"/>
  <c r="H24" i="201" s="1"/>
  <c r="E44" i="201"/>
  <c r="H44" i="201" s="1"/>
  <c r="E52" i="201"/>
  <c r="H52" i="201" s="1"/>
  <c r="E17" i="201"/>
  <c r="H17" i="201" s="1"/>
  <c r="E26" i="201"/>
  <c r="H26" i="201" s="1"/>
  <c r="H12" i="201"/>
  <c r="H8" i="201"/>
  <c r="H58" i="201" l="1"/>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D30" i="198"/>
  <c r="C30" i="198"/>
  <c r="B30" i="198"/>
  <c r="K14" i="198"/>
  <c r="J14" i="198"/>
  <c r="I14" i="198"/>
  <c r="H14" i="198"/>
  <c r="E14" i="198"/>
  <c r="D14" i="198"/>
  <c r="C14" i="198"/>
  <c r="B14" i="198"/>
  <c r="G41" i="186"/>
  <c r="K27" i="186"/>
  <c r="K28" i="186"/>
  <c r="K29" i="186"/>
  <c r="K30" i="186"/>
  <c r="K31" i="186"/>
  <c r="K32" i="186"/>
  <c r="K33" i="186"/>
  <c r="K34" i="186"/>
  <c r="K35" i="186"/>
  <c r="K36" i="186"/>
  <c r="K37" i="186"/>
  <c r="K38" i="186"/>
  <c r="K39" i="186"/>
  <c r="K40" i="186"/>
  <c r="B3" i="197"/>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T96" i="197"/>
  <c r="AA124" i="197"/>
  <c r="W144" i="197"/>
  <c r="AA145" i="197"/>
  <c r="AA156" i="197"/>
  <c r="AB172" i="197"/>
  <c r="AE180" i="197"/>
  <c r="AD181" i="197"/>
  <c r="AD188" i="197"/>
  <c r="Y200" i="197"/>
  <c r="V212" i="197"/>
  <c r="AD220" i="197"/>
  <c r="Y232" i="197"/>
  <c r="X237" i="197"/>
  <c r="AB244" i="197"/>
  <c r="U245" i="197"/>
  <c r="R12" i="197"/>
  <c r="R76" i="197"/>
  <c r="R140" i="197"/>
  <c r="Q4" i="197"/>
  <c r="Q5" i="197"/>
  <c r="Q6" i="197"/>
  <c r="R6" i="197" s="1"/>
  <c r="Q7" i="197"/>
  <c r="R7" i="197" s="1"/>
  <c r="Q8" i="197"/>
  <c r="R8" i="197" s="1"/>
  <c r="Q9" i="197"/>
  <c r="Q10" i="197"/>
  <c r="Q11" i="197"/>
  <c r="R11" i="197" s="1"/>
  <c r="Q12" i="197"/>
  <c r="Q13" i="197"/>
  <c r="Q14" i="197"/>
  <c r="R14" i="197" s="1"/>
  <c r="Q15" i="197"/>
  <c r="Q16" i="197"/>
  <c r="Q17" i="197"/>
  <c r="Q18" i="197"/>
  <c r="Q19" i="197"/>
  <c r="R19" i="197" s="1"/>
  <c r="Q20" i="197"/>
  <c r="Q21" i="197"/>
  <c r="Q22" i="197"/>
  <c r="Q23" i="197"/>
  <c r="R23" i="197" s="1"/>
  <c r="Q24" i="197"/>
  <c r="R24" i="197" s="1"/>
  <c r="Q25" i="197"/>
  <c r="Q26" i="197"/>
  <c r="Q27" i="197"/>
  <c r="R27" i="197" s="1"/>
  <c r="Q28" i="197"/>
  <c r="R28" i="197" s="1"/>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R60" i="197" s="1"/>
  <c r="Q61" i="197"/>
  <c r="Z61" i="197" s="1"/>
  <c r="Q62" i="197"/>
  <c r="Q63" i="197"/>
  <c r="AE63" i="197" s="1"/>
  <c r="Q64" i="197"/>
  <c r="S64" i="197" s="1"/>
  <c r="Q65" i="197"/>
  <c r="Q66" i="197"/>
  <c r="Q67" i="197"/>
  <c r="R67" i="197" s="1"/>
  <c r="Q68" i="197"/>
  <c r="AD68" i="197" s="1"/>
  <c r="Q69" i="197"/>
  <c r="Q70" i="197"/>
  <c r="R70" i="197" s="1"/>
  <c r="Q71" i="197"/>
  <c r="X71" i="197" s="1"/>
  <c r="Q72" i="197"/>
  <c r="R72" i="197" s="1"/>
  <c r="Q73" i="197"/>
  <c r="AD73" i="197" s="1"/>
  <c r="Q74" i="197"/>
  <c r="Q75" i="197"/>
  <c r="R75" i="197" s="1"/>
  <c r="Q76" i="197"/>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R92" i="197" s="1"/>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R108" i="197" s="1"/>
  <c r="Q109" i="197"/>
  <c r="Y109" i="197" s="1"/>
  <c r="Q110" i="197"/>
  <c r="Q111" i="197"/>
  <c r="T111" i="197" s="1"/>
  <c r="Q112" i="197"/>
  <c r="AA112" i="197" s="1"/>
  <c r="Q113" i="197"/>
  <c r="Z113" i="197" s="1"/>
  <c r="Q114" i="197"/>
  <c r="Q115" i="197"/>
  <c r="Q116" i="197"/>
  <c r="S116" i="197" s="1"/>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AE152" i="197" s="1"/>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Q238" i="197"/>
  <c r="S238" i="197" s="1"/>
  <c r="Q239" i="197"/>
  <c r="Y239" i="197" s="1"/>
  <c r="Q240" i="197"/>
  <c r="Z240" i="197" s="1"/>
  <c r="Q241" i="197"/>
  <c r="Q242" i="197"/>
  <c r="T242" i="197" s="1"/>
  <c r="Q243" i="197"/>
  <c r="AD243" i="197" s="1"/>
  <c r="Q244" i="197"/>
  <c r="X244" i="197" s="1"/>
  <c r="Q245" i="197"/>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V240" i="197" l="1"/>
  <c r="T236" i="197"/>
  <c r="Y224" i="197"/>
  <c r="AD212" i="197"/>
  <c r="V204" i="197"/>
  <c r="Y192" i="197"/>
  <c r="T176" i="197"/>
  <c r="X160" i="197"/>
  <c r="X128" i="197"/>
  <c r="AB112" i="197"/>
  <c r="R124" i="197"/>
  <c r="AC248" i="197"/>
  <c r="V244" i="197"/>
  <c r="AD236" i="197"/>
  <c r="AD228" i="197"/>
  <c r="V220" i="197"/>
  <c r="Y208" i="197"/>
  <c r="AD196" i="197"/>
  <c r="V188" i="197"/>
  <c r="T180" i="197"/>
  <c r="AB168" i="197"/>
  <c r="AB140" i="197"/>
  <c r="AE120" i="197"/>
  <c r="AA88" i="197"/>
  <c r="R44" i="197"/>
  <c r="X248" i="197"/>
  <c r="AB240" i="197"/>
  <c r="Y236" i="197"/>
  <c r="V228" i="197"/>
  <c r="Y216" i="197"/>
  <c r="AD204" i="197"/>
  <c r="V196" i="197"/>
  <c r="W184" i="197"/>
  <c r="AE176" i="197"/>
  <c r="S164" i="197"/>
  <c r="T148" i="197"/>
  <c r="S132" i="197"/>
  <c r="AE68" i="197"/>
  <c r="U235" i="197"/>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N11" i="198"/>
  <c r="W11" i="198"/>
  <c r="P11" i="198"/>
  <c r="V11" i="198"/>
  <c r="O11" i="198"/>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G174" i="197"/>
  <c r="AG158" i="197"/>
  <c r="AG142" i="197"/>
  <c r="AG126" i="197"/>
  <c r="AG110" i="197"/>
  <c r="AG94" i="197"/>
  <c r="AG78" i="197"/>
  <c r="AG62" i="197"/>
  <c r="AG46" i="197"/>
  <c r="AG29" i="197"/>
  <c r="AG13" i="197"/>
  <c r="AK8" i="197" s="1"/>
  <c r="O6" i="193"/>
  <c r="P6" i="193"/>
  <c r="Q6" i="193"/>
  <c r="R6" i="193"/>
  <c r="R15" i="193"/>
  <c r="Q15" i="193"/>
  <c r="P15" i="193"/>
  <c r="O15" i="193"/>
  <c r="R13" i="193"/>
  <c r="Q13" i="193"/>
  <c r="P13" i="193"/>
  <c r="O13" i="193"/>
  <c r="P9" i="193"/>
  <c r="Q9" i="193"/>
  <c r="R9" i="193"/>
  <c r="O9" i="193"/>
  <c r="R7" i="193"/>
  <c r="Q7" i="193"/>
  <c r="P7" i="193"/>
  <c r="O7" i="193"/>
  <c r="AK4" i="197" l="1"/>
  <c r="AH246" i="197" s="1"/>
  <c r="AH60" i="197"/>
  <c r="AH155" i="197"/>
  <c r="AH7" i="197"/>
  <c r="AH190" i="197"/>
  <c r="AH179" i="197"/>
  <c r="AH177" i="197"/>
  <c r="AH230" i="197"/>
  <c r="AH220" i="197"/>
  <c r="AH171" i="197"/>
  <c r="AH107" i="197"/>
  <c r="AH91" i="197"/>
  <c r="AH59" i="197"/>
  <c r="AH226" i="197"/>
  <c r="AH114" i="197"/>
  <c r="AH82" i="197"/>
  <c r="AH137" i="197"/>
  <c r="AH9" i="197"/>
  <c r="AH104" i="197"/>
  <c r="AH56" i="197"/>
  <c r="AH199" i="197"/>
  <c r="AH87" i="197"/>
  <c r="AH55" i="197"/>
  <c r="AH23" i="197"/>
  <c r="AH213" i="197"/>
  <c r="AH181" i="197"/>
  <c r="AH133" i="197"/>
  <c r="AH101" i="197"/>
  <c r="AH85" i="197"/>
  <c r="AH37" i="197"/>
  <c r="AH116" i="197"/>
  <c r="AH52" i="197"/>
  <c r="AH36" i="197"/>
  <c r="AH4" i="197"/>
  <c r="AH211" i="197"/>
  <c r="AH147" i="197"/>
  <c r="AH115" i="197"/>
  <c r="AH35" i="197"/>
  <c r="AH138" i="197"/>
  <c r="AH58" i="197"/>
  <c r="AH42" i="197"/>
  <c r="AH129" i="197"/>
  <c r="AH234" i="197"/>
  <c r="AH112" i="197"/>
  <c r="AH96" i="197"/>
  <c r="AH64" i="197"/>
  <c r="AH16" i="197"/>
  <c r="AH191" i="197"/>
  <c r="AH175" i="197"/>
  <c r="AH79" i="197"/>
  <c r="AH31" i="197"/>
  <c r="AH86" i="197"/>
  <c r="AH205" i="197"/>
  <c r="AH141" i="197"/>
  <c r="AH45" i="197"/>
  <c r="AH13"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F40" i="186"/>
  <c r="F35" i="186"/>
  <c r="F33" i="186"/>
  <c r="F28" i="186"/>
  <c r="F27" i="186"/>
  <c r="E41" i="186"/>
  <c r="F38" i="186" s="1"/>
  <c r="F29" i="186" l="1"/>
  <c r="F37" i="186"/>
  <c r="AH148" i="197"/>
  <c r="AH168" i="197"/>
  <c r="AH108" i="197"/>
  <c r="F32" i="186"/>
  <c r="F39" i="186"/>
  <c r="AH198" i="197"/>
  <c r="AH117" i="197"/>
  <c r="AH18" i="197"/>
  <c r="F31" i="186"/>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C21" i="189" s="1"/>
  <c r="D21" i="189" s="1"/>
  <c r="E21" i="189" s="1"/>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l="1"/>
  <c r="J24" i="196" s="1"/>
  <c r="V7" i="199"/>
  <c r="T6" i="199"/>
  <c r="B42" i="188" s="1"/>
  <c r="U6" i="199"/>
  <c r="C42" i="188" s="1"/>
  <c r="O7" i="199"/>
  <c r="V8" i="199"/>
  <c r="Q8" i="199"/>
  <c r="T7" i="199"/>
  <c r="W4" i="199"/>
  <c r="N4" i="199"/>
  <c r="O8" i="199"/>
  <c r="V9" i="199"/>
  <c r="Q9" i="199"/>
  <c r="T8" i="199"/>
  <c r="B83" i="188" s="1"/>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C83" i="188" s="1"/>
  <c r="P9" i="199"/>
  <c r="W8" i="199"/>
  <c r="N8" i="199"/>
  <c r="V5" i="199"/>
  <c r="Q5" i="199"/>
  <c r="T4" i="199"/>
  <c r="U8" i="199"/>
  <c r="P10" i="199"/>
  <c r="W9" i="199"/>
  <c r="N9" i="199"/>
  <c r="V6" i="199"/>
  <c r="D42" i="188" s="1"/>
  <c r="Q6" i="199"/>
  <c r="E38" i="188" s="1"/>
  <c r="T5" i="199"/>
  <c r="O10" i="199"/>
  <c r="O4" i="199"/>
  <c r="H5" i="194"/>
  <c r="E108" i="194" s="1"/>
  <c r="H11" i="194"/>
  <c r="E96" i="194" s="1"/>
  <c r="H8" i="194"/>
  <c r="E179" i="194" s="1"/>
  <c r="H9" i="194"/>
  <c r="E160" i="194" s="1"/>
  <c r="H7" i="194"/>
  <c r="E8" i="194" s="1"/>
  <c r="E186" i="194"/>
  <c r="E74" i="194"/>
  <c r="E22" i="194"/>
  <c r="H4" i="194"/>
  <c r="E256" i="194" s="1"/>
  <c r="H3" i="194"/>
  <c r="E204" i="194" s="1"/>
  <c r="H12" i="194"/>
  <c r="E91" i="194" s="1"/>
  <c r="H2" i="194"/>
  <c r="E32" i="194" s="1"/>
  <c r="E225" i="194"/>
  <c r="E209" i="194"/>
  <c r="E173" i="194"/>
  <c r="E69" i="194"/>
  <c r="E37" i="194"/>
  <c r="E29" i="194"/>
  <c r="H6" i="194"/>
  <c r="E102" i="194" s="1"/>
  <c r="H10" i="194"/>
  <c r="E230" i="194" s="1"/>
  <c r="D49" i="196"/>
  <c r="J26" i="196"/>
  <c r="J27" i="196"/>
  <c r="D24" i="196"/>
  <c r="D25" i="196"/>
  <c r="D28" i="196"/>
  <c r="D29" i="196"/>
  <c r="J6" i="196"/>
  <c r="J7" i="196"/>
  <c r="J10" i="196"/>
  <c r="J11" i="196"/>
  <c r="C13" i="196"/>
  <c r="C12" i="196"/>
  <c r="C9" i="196"/>
  <c r="C8" i="196"/>
  <c r="C5" i="196"/>
  <c r="C4" i="196"/>
  <c r="K25" i="196"/>
  <c r="K26" i="196"/>
  <c r="K29" i="196"/>
  <c r="E24" i="196"/>
  <c r="E27" i="196"/>
  <c r="E28" i="196"/>
  <c r="K5" i="196"/>
  <c r="K6" i="196"/>
  <c r="K9" i="196"/>
  <c r="K10" i="196"/>
  <c r="K13" i="196"/>
  <c r="B13" i="196"/>
  <c r="B10" i="196"/>
  <c r="B9" i="196"/>
  <c r="B6" i="196"/>
  <c r="B5" i="196"/>
  <c r="H24" i="196"/>
  <c r="H25" i="196"/>
  <c r="H28" i="196"/>
  <c r="H29" i="196"/>
  <c r="B26" i="196"/>
  <c r="B27" i="196"/>
  <c r="H4" i="196"/>
  <c r="H5" i="196"/>
  <c r="H8" i="196"/>
  <c r="H9" i="196"/>
  <c r="C28" i="196"/>
  <c r="I6" i="196"/>
  <c r="E13" i="196"/>
  <c r="E11" i="196"/>
  <c r="E5" i="196"/>
  <c r="C49" i="196"/>
  <c r="C29" i="196"/>
  <c r="I7" i="196"/>
  <c r="D13" i="196"/>
  <c r="D11" i="196"/>
  <c r="D5" i="196"/>
  <c r="I24" i="196"/>
  <c r="I4" i="196"/>
  <c r="I8" i="196"/>
  <c r="E12" i="196"/>
  <c r="E10" i="196"/>
  <c r="E4" i="196"/>
  <c r="I25" i="196"/>
  <c r="I5" i="196"/>
  <c r="I9" i="196"/>
  <c r="D12" i="196"/>
  <c r="D10" i="196"/>
  <c r="D4" i="196"/>
  <c r="E31" i="194" l="1"/>
  <c r="E193" i="194"/>
  <c r="E237" i="194"/>
  <c r="E47" i="194"/>
  <c r="D73" i="188"/>
  <c r="D6" i="196"/>
  <c r="I13" i="196"/>
  <c r="C27" i="196"/>
  <c r="E6" i="196"/>
  <c r="H13" i="196"/>
  <c r="C26" i="196"/>
  <c r="D7" i="196"/>
  <c r="I12" i="196"/>
  <c r="C25" i="196"/>
  <c r="E7" i="196"/>
  <c r="H12" i="196"/>
  <c r="C24" i="196"/>
  <c r="C30" i="196" s="1"/>
  <c r="H7" i="196"/>
  <c r="H14" i="196" s="1"/>
  <c r="B29" i="196"/>
  <c r="B25" i="196"/>
  <c r="H27" i="196"/>
  <c r="B49" i="196"/>
  <c r="B7" i="196"/>
  <c r="B11" i="196"/>
  <c r="K12" i="196"/>
  <c r="K8" i="196"/>
  <c r="K14" i="196" s="1"/>
  <c r="K4" i="196"/>
  <c r="E26" i="196"/>
  <c r="K28" i="196"/>
  <c r="K24" i="196"/>
  <c r="C6" i="196"/>
  <c r="C10" i="196"/>
  <c r="J13" i="196"/>
  <c r="J9" i="196"/>
  <c r="J5" i="196"/>
  <c r="D27" i="196"/>
  <c r="J29" i="196"/>
  <c r="J25" i="196"/>
  <c r="E101" i="194"/>
  <c r="E82" i="194"/>
  <c r="D8" i="196"/>
  <c r="I11" i="196"/>
  <c r="I14" i="196" s="1"/>
  <c r="I29" i="196"/>
  <c r="E8" i="196"/>
  <c r="H11" i="196"/>
  <c r="I28" i="196"/>
  <c r="D9" i="196"/>
  <c r="I10" i="196"/>
  <c r="I27" i="196"/>
  <c r="I30" i="196" s="1"/>
  <c r="E9" i="196"/>
  <c r="H10" i="196"/>
  <c r="I26" i="196"/>
  <c r="H6" i="196"/>
  <c r="B28" i="196"/>
  <c r="B24" i="196"/>
  <c r="H26" i="196"/>
  <c r="B4" i="196"/>
  <c r="B14" i="196" s="1"/>
  <c r="B8" i="196"/>
  <c r="B12" i="196"/>
  <c r="K11" i="196"/>
  <c r="K7" i="196"/>
  <c r="E29" i="196"/>
  <c r="E30" i="196" s="1"/>
  <c r="E25" i="196"/>
  <c r="K27" i="196"/>
  <c r="E49" i="196"/>
  <c r="C7" i="196"/>
  <c r="C11" i="196"/>
  <c r="J12" i="196"/>
  <c r="J8" i="196"/>
  <c r="J4" i="196"/>
  <c r="J14" i="196" s="1"/>
  <c r="D26" i="196"/>
  <c r="J28" i="196"/>
  <c r="E121" i="194"/>
  <c r="E213" i="194"/>
  <c r="C73" i="188"/>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C14" i="196"/>
  <c r="D14" i="196"/>
  <c r="E14" i="196"/>
  <c r="H30" i="196"/>
  <c r="D30" i="196"/>
  <c r="K30" i="196"/>
  <c r="B30" i="196"/>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I12" i="192" l="1"/>
  <c r="K28" i="199" s="1"/>
  <c r="K29" i="199"/>
  <c r="K25" i="199"/>
  <c r="J27" i="199"/>
  <c r="I29" i="199"/>
  <c r="I25" i="199"/>
  <c r="H28" i="199"/>
  <c r="H24" i="199"/>
  <c r="C27" i="199"/>
  <c r="E25" i="199"/>
  <c r="D26" i="199"/>
  <c r="C49" i="199"/>
  <c r="C5" i="190" s="1"/>
  <c r="C7" i="190" s="1"/>
  <c r="B26" i="199"/>
  <c r="B29" i="199"/>
  <c r="E49" i="199"/>
  <c r="E5" i="190" s="1"/>
  <c r="E7" i="190" s="1"/>
  <c r="B49" i="199"/>
  <c r="B5" i="190" s="1"/>
  <c r="B7" i="190" s="1"/>
  <c r="I13" i="199"/>
  <c r="C12" i="199"/>
  <c r="I11" i="199"/>
  <c r="C10" i="199"/>
  <c r="I9" i="199"/>
  <c r="C8" i="199"/>
  <c r="I7" i="199"/>
  <c r="C6" i="199"/>
  <c r="I5" i="199"/>
  <c r="C59" i="188" s="1"/>
  <c r="C4" i="199"/>
  <c r="H13" i="199"/>
  <c r="B12" i="199"/>
  <c r="H11" i="199"/>
  <c r="B10" i="199"/>
  <c r="H9" i="199"/>
  <c r="B8" i="199"/>
  <c r="H7" i="199"/>
  <c r="B6" i="199"/>
  <c r="H5" i="199"/>
  <c r="B59" i="188" s="1"/>
  <c r="B4" i="199"/>
  <c r="K13" i="199"/>
  <c r="E12" i="199"/>
  <c r="K11" i="199"/>
  <c r="E10" i="199"/>
  <c r="K9" i="199"/>
  <c r="E8" i="199"/>
  <c r="K7" i="199"/>
  <c r="E6" i="199"/>
  <c r="K5" i="199"/>
  <c r="E59" i="188" s="1"/>
  <c r="E4" i="199"/>
  <c r="J13" i="199"/>
  <c r="D12" i="199"/>
  <c r="J11" i="199"/>
  <c r="D10" i="199"/>
  <c r="J9" i="199"/>
  <c r="D8" i="199"/>
  <c r="J7" i="199"/>
  <c r="D6" i="199"/>
  <c r="J5" i="199"/>
  <c r="D59" i="188" s="1"/>
  <c r="D4" i="199"/>
  <c r="B25" i="199" l="1"/>
  <c r="D29" i="199"/>
  <c r="D25" i="199"/>
  <c r="D49" i="199"/>
  <c r="D5" i="190" s="1"/>
  <c r="D7" i="190" s="1"/>
  <c r="C26" i="199"/>
  <c r="C30" i="199" s="1"/>
  <c r="H25" i="199"/>
  <c r="B23" i="189" s="1"/>
  <c r="H29" i="199"/>
  <c r="I26" i="199"/>
  <c r="C18" i="189" s="1"/>
  <c r="J24" i="199"/>
  <c r="J28" i="199"/>
  <c r="J30" i="199" s="1"/>
  <c r="K26" i="199"/>
  <c r="E18" i="189" s="1"/>
  <c r="J6" i="199"/>
  <c r="J12" i="199"/>
  <c r="D55" i="188" s="1"/>
  <c r="D56" i="188" s="1"/>
  <c r="K6" i="199"/>
  <c r="K10" i="199"/>
  <c r="H4" i="199"/>
  <c r="H6" i="199"/>
  <c r="H14" i="199" s="1"/>
  <c r="B26" i="188" s="1"/>
  <c r="H8" i="199"/>
  <c r="B62" i="188" s="1"/>
  <c r="H10" i="199"/>
  <c r="H12" i="199"/>
  <c r="I4" i="199"/>
  <c r="I6" i="199"/>
  <c r="I14" i="199" s="1"/>
  <c r="C26" i="188" s="1"/>
  <c r="I8" i="199"/>
  <c r="I10" i="199"/>
  <c r="I12" i="199"/>
  <c r="E27" i="199"/>
  <c r="E30" i="199" s="1"/>
  <c r="B28" i="199"/>
  <c r="E28" i="199"/>
  <c r="D28" i="199"/>
  <c r="D24" i="199"/>
  <c r="C29" i="199"/>
  <c r="C25" i="199"/>
  <c r="H26" i="199"/>
  <c r="B18" i="189" s="1"/>
  <c r="B24" i="199"/>
  <c r="B30" i="199" s="1"/>
  <c r="I27" i="199"/>
  <c r="J25" i="199"/>
  <c r="J29" i="199"/>
  <c r="K27" i="199"/>
  <c r="J4" i="199"/>
  <c r="J8" i="199"/>
  <c r="J10" i="199"/>
  <c r="K4" i="199"/>
  <c r="E55" i="188" s="1"/>
  <c r="E56" i="188" s="1"/>
  <c r="K8" i="199"/>
  <c r="K12" i="199"/>
  <c r="D5" i="199"/>
  <c r="D7" i="199"/>
  <c r="D25" i="188" s="1"/>
  <c r="D9" i="199"/>
  <c r="D11" i="199"/>
  <c r="D13" i="199"/>
  <c r="E5" i="199"/>
  <c r="E14" i="199" s="1"/>
  <c r="E24" i="188" s="1"/>
  <c r="E7" i="199"/>
  <c r="E9" i="199"/>
  <c r="E11" i="199"/>
  <c r="E13" i="199"/>
  <c r="B5" i="199"/>
  <c r="B7" i="199"/>
  <c r="B25" i="188" s="1"/>
  <c r="B9" i="199"/>
  <c r="B14" i="199" s="1"/>
  <c r="B24" i="188" s="1"/>
  <c r="B11" i="199"/>
  <c r="B13" i="199"/>
  <c r="C5" i="199"/>
  <c r="C7" i="199"/>
  <c r="C25" i="188" s="1"/>
  <c r="C9" i="199"/>
  <c r="C14" i="199" s="1"/>
  <c r="C24" i="188" s="1"/>
  <c r="C11" i="199"/>
  <c r="C13" i="199"/>
  <c r="E24" i="199"/>
  <c r="B27" i="199"/>
  <c r="E26" i="199"/>
  <c r="D27" i="199"/>
  <c r="E29" i="199"/>
  <c r="C28" i="199"/>
  <c r="C24" i="199"/>
  <c r="H27" i="199"/>
  <c r="I24" i="199"/>
  <c r="I30" i="199" s="1"/>
  <c r="I28" i="199"/>
  <c r="J26" i="199"/>
  <c r="D18" i="189" s="1"/>
  <c r="K24" i="199"/>
  <c r="E23" i="189" s="1"/>
  <c r="B55" i="188"/>
  <c r="B56" i="188" s="1"/>
  <c r="B65" i="188"/>
  <c r="C65" i="188"/>
  <c r="E25" i="188"/>
  <c r="C55" i="188"/>
  <c r="C56" i="188" s="1"/>
  <c r="D62" i="188"/>
  <c r="D27" i="188"/>
  <c r="E62" i="188"/>
  <c r="E27" i="188"/>
  <c r="B27" i="188"/>
  <c r="C62" i="188"/>
  <c r="C27" i="188"/>
  <c r="C23" i="189"/>
  <c r="D65" i="188"/>
  <c r="K14" i="199"/>
  <c r="E26" i="188" s="1"/>
  <c r="E65" i="188"/>
  <c r="K30" i="199"/>
  <c r="J14" i="199"/>
  <c r="D26" i="188" s="1"/>
  <c r="D14" i="199"/>
  <c r="D24" i="188" s="1"/>
  <c r="D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D23" i="189" l="1"/>
  <c r="D24" i="189" s="1"/>
  <c r="H30" i="199"/>
  <c r="B24" i="189"/>
  <c r="E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B18" i="186"/>
  <c r="L28" i="186"/>
  <c r="H40" i="186"/>
  <c r="H39" i="186"/>
  <c r="H38" i="186"/>
  <c r="H37" i="186"/>
  <c r="H36" i="186"/>
  <c r="H35" i="186"/>
  <c r="H34" i="186"/>
  <c r="H33" i="186"/>
  <c r="H32" i="186"/>
  <c r="H31" i="186"/>
  <c r="H30" i="186"/>
  <c r="H29" i="186"/>
  <c r="H28" i="186"/>
  <c r="H27" i="186"/>
  <c r="B36" i="185"/>
  <c r="B38" i="185" s="1"/>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B49" i="34" s="1"/>
  <c r="K30" i="34"/>
  <c r="J30" i="34"/>
  <c r="I30" i="34"/>
  <c r="H30" i="34"/>
  <c r="E30" i="34"/>
  <c r="D30" i="34"/>
  <c r="C30" i="34"/>
  <c r="B30" i="34"/>
  <c r="K14" i="34"/>
  <c r="J14" i="34"/>
  <c r="I14" i="34"/>
  <c r="H14" i="34"/>
  <c r="E14" i="34"/>
  <c r="D14" i="34"/>
  <c r="C14" i="34"/>
  <c r="B14" i="34"/>
  <c r="R37" i="193" l="1"/>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K34" i="193"/>
  <c r="D63" i="188"/>
  <c r="K43" i="193" s="1"/>
  <c r="C63" i="188"/>
  <c r="J43" i="193" s="1"/>
  <c r="J34" i="193"/>
  <c r="D57" i="188"/>
  <c r="C57" i="188"/>
  <c r="D66" i="188"/>
  <c r="D60" i="188"/>
  <c r="L27" i="193"/>
  <c r="E32" i="188"/>
  <c r="C66" i="188"/>
  <c r="C60" i="188"/>
  <c r="D25" i="189" l="1"/>
  <c r="C26" i="189"/>
  <c r="C27" i="189" s="1"/>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6" i="189" l="1"/>
  <c r="D27" i="189" s="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C78" i="188"/>
  <c r="C79" i="188" s="1"/>
  <c r="C75" i="188"/>
  <c r="C76" i="188" s="1"/>
  <c r="C84" i="188"/>
  <c r="C85" i="188" s="1"/>
  <c r="D81" i="188"/>
  <c r="D82"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<sst xmlns="http://schemas.openxmlformats.org/spreadsheetml/2006/main" count="1627" uniqueCount="563">
  <si>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</si>
  <si>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</si>
  <si>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</si>
  <si>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</si>
  <si>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</si>
  <si>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</si>
  <si>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</si>
  <si>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</si>
  <si>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</si>
  <si>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</si>
  <si>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</si>
  <si>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</si>
  <si>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</si>
  <si>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</si>
  <si>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</si>
  <si>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</si>
  <si>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</si>
  <si>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</si>
  <si>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</si>
  <si>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</si>
  <si>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</si>
  <si>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</si>
  <si>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</si>
  <si>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</si>
  <si>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</si>
  <si>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</si>
  <si>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</si>
  <si>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</si>
  <si>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</si>
  <si>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</si>
  <si>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</si>
  <si>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</si>
  <si>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</si>
  <si>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</si>
  <si>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</si>
  <si>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</si>
  <si>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</si>
  <si>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</si>
  <si>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</si>
  <si>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</si>
  <si>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</si>
  <si>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</si>
  <si>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</si>
  <si>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</si>
  <si>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</si>
  <si>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</si>
  <si>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</si>
  <si>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</si>
  <si>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</si>
  <si>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</si>
  <si>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</si>
  <si>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</si>
  <si>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</si>
  <si>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</si>
  <si>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</si>
  <si>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</si>
  <si>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</si>
  <si>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</si>
  <si>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</si>
  <si>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</si>
  <si>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</si>
  <si>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</si>
  <si>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</si>
  <si>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</si>
  <si>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</si>
  <si>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</si>
  <si>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</si>
  <si>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</si>
  <si>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</si>
  <si>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</si>
  <si>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</si>
  <si>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</si>
  <si>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</si>
  <si>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</si>
  <si>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</si>
  <si>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</si>
  <si>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</si>
  <si>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</si>
  <si>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</si>
  <si>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</si>
  <si>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</si>
  <si>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</si>
  <si>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</si>
  <si>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</si>
  <si>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</si>
  <si>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</si>
  <si>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</si>
  <si>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</si>
  <si>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</si>
  <si>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</si>
  <si>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</si>
  <si>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</si>
  <si>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</si>
  <si>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</si>
  <si>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</si>
  <si>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</si>
  <si>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</si>
  <si>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</si>
  <si>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</si>
  <si>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</si>
  <si>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</si>
  <si>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</si>
  <si>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</si>
  <si>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</si>
  <si>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</si>
  <si>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</si>
  <si>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</si>
  <si>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</si>
  <si>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</si>
  <si>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</si>
  <si>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</si>
  <si>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</si>
  <si>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</si>
  <si>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</si>
  <si>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</si>
  <si>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</si>
  <si>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</si>
  <si>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</si>
  <si>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</si>
  <si>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</si>
  <si>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</si>
  <si>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</si>
  <si>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</si>
  <si>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</si>
  <si>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</si>
  <si>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</si>
  <si>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</si>
  <si>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</si>
  <si>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</si>
  <si>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</si>
  <si>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</si>
  <si>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</si>
  <si>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</si>
  <si>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</si>
  <si>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</si>
  <si>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</si>
  <si>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</si>
  <si>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</si>
  <si>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</si>
  <si>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</si>
  <si>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</si>
  <si>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</si>
  <si>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</si>
  <si>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</si>
  <si>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</si>
  <si>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</si>
  <si>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</si>
  <si>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</si>
  <si>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</si>
  <si>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</si>
  <si>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</si>
  <si>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</si>
  <si>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</si>
  <si>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</si>
  <si>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</si>
  <si>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</si>
  <si>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</si>
  <si>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</si>
  <si>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</si>
  <si>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</si>
  <si>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</si>
  <si>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</si>
  <si>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</si>
  <si>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</si>
  <si>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</si>
  <si>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</si>
  <si>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</si>
  <si>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</si>
  <si>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</si>
  <si>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</si>
  <si>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</si>
  <si>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</si>
  <si>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</si>
  <si>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</si>
  <si>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</si>
  <si>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</si>
  <si>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</si>
  <si>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</si>
  <si>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</si>
  <si>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</si>
  <si>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</si>
  <si>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</si>
  <si>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</si>
  <si>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</si>
  <si>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</si>
  <si>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</si>
  <si>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</si>
  <si>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</si>
  <si>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</si>
  <si>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</si>
  <si>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</si>
  <si>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</si>
  <si>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</si>
  <si>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</si>
  <si>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</si>
  <si>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</si>
  <si>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</si>
  <si>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</si>
  <si>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</si>
  <si>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</si>
  <si>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</si>
  <si>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</si>
  <si>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</si>
  <si>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</si>
  <si>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</si>
  <si>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</si>
  <si>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</si>
  <si>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</si>
  <si>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</si>
  <si>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</si>
  <si>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</si>
  <si>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</si>
  <si>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</si>
  <si>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</si>
  <si>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</si>
  <si>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</si>
  <si>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</si>
  <si>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</si>
  <si>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</si>
  <si>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</si>
  <si>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</si>
  <si>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</si>
  <si>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</si>
  <si>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</si>
  <si>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</si>
  <si>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</si>
  <si>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</si>
  <si>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</si>
  <si>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</si>
  <si>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</si>
  <si>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</si>
  <si>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</si>
  <si>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</si>
  <si>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</si>
  <si>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</si>
  <si>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</si>
  <si>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</si>
  <si>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</si>
  <si>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</si>
  <si>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</si>
  <si>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</si>
  <si>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</si>
  <si>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</si>
  <si>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</si>
  <si>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</si>
  <si>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</si>
  <si>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</si>
  <si>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</si>
  <si>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</si>
  <si>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</si>
  <si>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</si>
  <si>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</si>
  <si>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</si>
  <si>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</si>
  <si>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</si>
  <si>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</si>
  <si>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</si>
  <si>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</si>
  <si>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</si>
  <si>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</si>
  <si>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</si>
  <si>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</si>
  <si>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</si>
  <si>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</si>
  <si>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</si>
  <si>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</si>
  <si>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</si>
  <si>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</si>
  <si>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</si>
  <si>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</si>
  <si>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</si>
  <si>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</si>
  <si>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</si>
  <si>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</si>
  <si>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</si>
  <si>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</si>
  <si>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</si>
  <si>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</si>
  <si>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</si>
  <si>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</si>
  <si>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</si>
  <si>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</si>
  <si>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</si>
  <si>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</si>
  <si>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</si>
  <si>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</si>
  <si>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</si>
  <si>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</si>
  <si>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</si>
  <si>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</si>
  <si>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</si>
  <si>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</si>
  <si>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</si>
  <si>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</si>
  <si>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</si>
  <si>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</si>
  <si>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</si>
  <si>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</si>
  <si>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</si>
  <si>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</si>
  <si>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</si>
  <si>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</si>
  <si>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</si>
  <si>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</si>
  <si>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</si>
  <si>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</si>
  <si>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</si>
  <si>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</si>
  <si>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</si>
  <si>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</si>
  <si>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</si>
  <si>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</si>
  <si>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</si>
  <si>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</si>
  <si>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</si>
  <si>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</si>
  <si>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</si>
  <si>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</si>
  <si>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</si>
  <si>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</si>
  <si>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</si>
  <si>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</si>
  <si>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</si>
  <si>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</si>
  <si>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</si>
  <si>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</si>
  <si>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</si>
  <si>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</si>
  <si>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</si>
  <si>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</si>
  <si>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</si>
  <si>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</si>
  <si>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</si>
  <si>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</si>
  <si>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</si>
  <si>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</si>
  <si>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</si>
  <si>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</si>
  <si>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</si>
  <si>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</si>
  <si>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</si>
  <si>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</si>
  <si>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</si>
  <si>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</si>
  <si>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</si>
  <si>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</si>
  <si>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</si>
  <si>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</si>
  <si>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</si>
  <si>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</si>
  <si>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</si>
  <si>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</si>
  <si>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</si>
  <si>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</si>
  <si>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</si>
  <si>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</si>
  <si>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</si>
  <si>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</si>
  <si>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</si>
  <si>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</si>
  <si>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</si>
  <si>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</si>
  <si>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</si>
  <si>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</si>
  <si>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</si>
  <si>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</si>
  <si>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</si>
  <si>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</si>
  <si>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</si>
  <si>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</si>
  <si>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</si>
  <si>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</si>
  <si>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</si>
  <si>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</si>
  <si>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</si>
  <si>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</si>
  <si>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</si>
  <si>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</si>
  <si>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</si>
  <si>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</si>
  <si>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</si>
  <si>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</si>
  <si>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</si>
  <si>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</si>
  <si>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</si>
  <si>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</si>
  <si>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</si>
  <si>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</si>
  <si>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</si>
  <si>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</si>
  <si>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</si>
  <si>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</si>
  <si>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</si>
  <si>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</si>
  <si>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</si>
  <si>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</si>
  <si>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</si>
  <si>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</si>
  <si>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</si>
  <si>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</si>
  <si>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</si>
  <si>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</si>
  <si>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</si>
  <si>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</si>
  <si>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</si>
  <si>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</si>
  <si>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</si>
  <si>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</si>
  <si>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</si>
  <si>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</si>
  <si>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</si>
  <si>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</si>
  <si>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</si>
  <si>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</si>
  <si>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</si>
  <si>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</si>
  <si>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</si>
  <si>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</si>
  <si>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</si>
  <si>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</si>
  <si>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</si>
  <si>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</si>
  <si>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</si>
  <si>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</si>
  <si>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</si>
  <si>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</si>
  <si>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</si>
  <si>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</si>
  <si>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</si>
  <si>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</si>
  <si>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</si>
  <si>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</si>
  <si>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</si>
  <si>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</si>
  <si>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</si>
  <si>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</si>
  <si>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</si>
  <si>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</si>
  <si>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</si>
  <si>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</si>
  <si>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</si>
  <si>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</si>
  <si>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</si>
  <si>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</si>
  <si>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</si>
  <si>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</si>
  <si>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</si>
  <si>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</si>
  <si>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</si>
  <si>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</si>
  <si>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</si>
  <si>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</si>
  <si>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</si>
  <si>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</si>
  <si>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</si>
  <si>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</si>
  <si>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</si>
  <si>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</si>
  <si>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</si>
  <si>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</si>
  <si>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</si>
  <si>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</si>
  <si>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</si>
  <si>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</si>
  <si>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</si>
  <si>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</si>
  <si>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</si>
  <si>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</si>
  <si>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</si>
  <si>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</si>
  <si>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</si>
  <si>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</si>
  <si>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</si>
  <si>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</si>
  <si>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</si>
  <si>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</si>
  <si>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</si>
  <si>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</si>
  <si>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</si>
  <si>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</si>
  <si>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</si>
  <si>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</si>
  <si>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</si>
  <si>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</si>
  <si>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</si>
  <si>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</si>
  <si>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</si>
  <si>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</si>
  <si>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</si>
  <si>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</si>
  <si>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</si>
  <si>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</si>
  <si>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</si>
  <si>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</si>
  <si>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</si>
  <si>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</si>
  <si>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</si>
  <si>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</si>
  <si>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</si>
  <si>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</si>
  <si>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</si>
  <si>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</si>
  <si>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</si>
  <si>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</si>
  <si>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</si>
  <si>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</si>
  <si>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</si>
  <si>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</si>
  <si>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</si>
  <si>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</si>
  <si>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</si>
  <si>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</si>
  <si>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</si>
  <si>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</si>
  <si>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</si>
  <si>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</si>
  <si>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</si>
  <si>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</si>
  <si>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</si>
  <si>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</si>
  <si>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</si>
  <si>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</si>
  <si>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</si>
  <si>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</si>
  <si>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</si>
  <si>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</si>
  <si>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</si>
  <si>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</si>
  <si>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</si>
  <si>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</si>
  <si>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</si>
  <si>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</si>
  <si>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</si>
  <si>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</si>
  <si>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</si>
  <si>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</si>
  <si>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</si>
  <si>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</si>
  <si>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</si>
  <si>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</si>
  <si>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</si>
  <si>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</si>
  <si>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</si>
  <si>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</si>
  <si>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</si>
  <si>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</si>
  <si>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</si>
  <si>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</si>
  <si>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Orleans</t>
  </si>
  <si>
    <t>Caledonia</t>
  </si>
  <si>
    <t>NEK</t>
  </si>
  <si>
    <t>Residential units</t>
  </si>
  <si>
    <t>Owner</t>
  </si>
  <si>
    <t>Rented</t>
  </si>
  <si>
    <t>Towns</t>
  </si>
  <si>
    <t>Owned</t>
  </si>
  <si>
    <t>% of NEK (Weight)</t>
  </si>
  <si>
    <t>Total MMBTUs</t>
  </si>
  <si>
    <t>Average</t>
  </si>
  <si>
    <t>Weighted Avg.</t>
  </si>
  <si>
    <t>Newport town</t>
  </si>
  <si>
    <t>St. Johnsbury</t>
  </si>
  <si>
    <t>UTG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</si>
</sst>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09">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164" fontId="0" fillId="0" borderId="34" xfId="2" applyNumberFormat="1" applyFont="1" applyBorder="1"/>
    <xf numFmtId="3" fontId="0" fillId="7" borderId="12" xfId="0" applyNumberFormat="1" applyFill="1" applyBorder="1"/>
    <xf numFmtId="0" fontId="0" fillId="7" borderId="12" xfId="0" applyFill="1" applyBorder="1"/>
    <xf numFmtId="1" fontId="0" fillId="7" borderId="12" xfId="0" applyNumberFormat="1" applyFill="1" applyBorder="1"/>
    <xf numFmtId="167" fontId="0" fillId="7" borderId="12" xfId="1" applyNumberFormat="1" applyFont="1" applyFill="1" applyBorder="1"/>
    <xf numFmtId="164" fontId="0" fillId="7" borderId="12" xfId="2" applyNumberFormat="1" applyFont="1" applyFill="1" applyBorder="1"/>
    <xf numFmtId="0" fontId="0" fillId="7" borderId="0" xfId="0" applyFill="1" applyBorder="1"/>
    <xf numFmtId="0" fontId="0" fillId="7" borderId="0" xfId="0" applyFill="1"/>
    <xf numFmtId="164" fontId="1" fillId="0" borderId="33" xfId="2" applyNumberFormat="1" applyFont="1" applyBorder="1"/>
    <xf numFmtId="0" fontId="0" fillId="7" borderId="26" xfId="0" applyFill="1" applyBorder="1"/>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0"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7" fillId="2" borderId="13" xfId="3"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0" fontId="0" fillId="5" borderId="27" xfId="0" applyFill="1" applyBorder="1" applyAlignment="1">
      <alignment horizontal="left" vertical="center" wrapText="1"/>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9" xfId="0" applyBorder="1" applyAlignment="1">
      <alignment horizontal="left" vertical="center"/>
    </xf>
    <xf numFmtId="0" fontId="0" fillId="0" borderId="19" xfId="0" applyBorder="1" applyAlignment="1">
      <alignment horizontal="left" vertical="center" wrapText="1"/>
    </xf>
    <xf numFmtId="0" fontId="0" fillId="0" borderId="0" xfId="0" applyBorder="1" applyAlignment="1">
      <alignment horizontal="left" vertical="center" wrapText="1"/>
    </xf>
    <xf numFmtId="0" fontId="9" fillId="0" borderId="0" xfId="6" applyAlignment="1">
      <alignment horizontal="left" vertical="center"/>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0"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0" fillId="0" borderId="16"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8" borderId="0" xfId="0" applyFont="1" applyFill="1" applyAlignment="1">
      <alignment horizontal="left" vertical="center" wrapText="1"/>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file:///C:\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31" t="s">
        <v>33</v>
      </c>
      <c r="B22" s="232"/>
      <c r="C22" s="232"/>
      <c r="D22" s="232"/>
      <c r="E22" s="233"/>
      <c r="G22" s="231" t="s">
        <v>34</v>
      </c>
      <c r="H22" s="232"/>
      <c r="I22" s="232"/>
      <c r="J22" s="232"/>
      <c r="K22" s="233"/>
      <c r="M22" s="235" t="s">
        <v>35</v>
      </c>
      <c r="N22" s="236"/>
      <c r="O22" s="236"/>
      <c r="P22" s="236"/>
      <c r="Q22" s="237"/>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34" t="s">
        <v>42</v>
      </c>
      <c r="B48" s="17">
        <v>2015</v>
      </c>
      <c r="C48" s="17">
        <v>2025</v>
      </c>
      <c r="D48" s="17">
        <v>2035</v>
      </c>
      <c r="E48" s="17">
        <v>2050</v>
      </c>
    </row>
    <row r="49" spans="1:5" ht="74.25" customHeight="1" x14ac:dyDescent="0.25">
      <c r="A49" s="234"/>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539</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0.23492315896021126</v>
      </c>
      <c r="I4" s="4">
        <f>res_share_state_target*'LEAP Statewide'!I4</f>
        <v>1.4204656123175565</v>
      </c>
      <c r="J4" s="4">
        <f>res_share_state_target*'LEAP Statewide'!J4</f>
        <v>2.6797630109298516</v>
      </c>
      <c r="K4" s="5">
        <f>res_share_state_target*'LEAP Statewide'!K4</f>
        <v>4.9333863381644365</v>
      </c>
      <c r="L4" s="21"/>
      <c r="M4" s="1" t="s">
        <v>13</v>
      </c>
      <c r="N4" s="4">
        <f ca="1">com_share_state_target*'LEAP Statewide'!N4</f>
        <v>0</v>
      </c>
      <c r="O4" s="4">
        <f ca="1">com_share_state_target*'LEAP Statewide'!O4</f>
        <v>0</v>
      </c>
      <c r="P4" s="4">
        <f ca="1">com_share_state_target*'LEAP Statewide'!P4</f>
        <v>0</v>
      </c>
      <c r="Q4" s="5">
        <f ca="1">com_share_state_target*'LEAP Statewide'!Q4</f>
        <v>0</v>
      </c>
      <c r="R4" s="2"/>
      <c r="S4" s="1" t="s">
        <v>13</v>
      </c>
      <c r="T4" s="4">
        <f ca="1">com_share_state_target*'LEAP Statewide'!T4</f>
        <v>9.0126209214996297E-2</v>
      </c>
      <c r="U4" s="4">
        <f ca="1">com_share_state_target*'LEAP Statewide'!U4</f>
        <v>0.56350756052871476</v>
      </c>
      <c r="V4" s="4">
        <f ca="1">com_share_state_target*'LEAP Statewide'!V4</f>
        <v>1.0572329347963036</v>
      </c>
      <c r="W4" s="5">
        <f ca="1">com_share_state_target*'LEAP Statewide'!W4</f>
        <v>1.8799627232856264</v>
      </c>
      <c r="Y4" s="23"/>
    </row>
    <row r="5" spans="1:25" x14ac:dyDescent="0.25">
      <c r="A5" s="1" t="s">
        <v>3</v>
      </c>
      <c r="B5" s="4">
        <f>res_share_state_target*'LEAP Statewide'!B5</f>
        <v>20.703286299528386</v>
      </c>
      <c r="C5" s="4">
        <f>res_share_state_target*'LEAP Statewide'!C5</f>
        <v>19.072482510002267</v>
      </c>
      <c r="D5" s="4">
        <f>res_share_state_target*'LEAP Statewide'!D5</f>
        <v>17.747625160052237</v>
      </c>
      <c r="E5" s="5">
        <f>res_share_state_target*'LEAP Statewide'!E5</f>
        <v>16.073114736300965</v>
      </c>
      <c r="G5" s="1" t="s">
        <v>3</v>
      </c>
      <c r="H5" s="4">
        <f>res_share_state_target*'LEAP Statewide'!H5</f>
        <v>20.766114586227047</v>
      </c>
      <c r="I5" s="4">
        <f>res_share_state_target*'LEAP Statewide'!I5</f>
        <v>19.493158864419389</v>
      </c>
      <c r="J5" s="4">
        <f>res_share_state_target*'LEAP Statewide'!J5</f>
        <v>18.198349825499157</v>
      </c>
      <c r="K5" s="5">
        <f>res_share_state_target*'LEAP Statewide'!K5</f>
        <v>17.329680470274187</v>
      </c>
      <c r="L5" s="21"/>
      <c r="M5" s="1" t="s">
        <v>14</v>
      </c>
      <c r="N5" s="4">
        <f ca="1">com_share_state_target*'LEAP Statewide'!N5</f>
        <v>8.4744887014295056</v>
      </c>
      <c r="O5" s="4">
        <f ca="1">com_share_state_target*'LEAP Statewide'!O5</f>
        <v>6.8469668651198639</v>
      </c>
      <c r="P5" s="4">
        <f ca="1">com_share_state_target*'LEAP Statewide'!P5</f>
        <v>4.9722542122739455</v>
      </c>
      <c r="Q5" s="5">
        <f ca="1">com_share_state_target*'LEAP Statewide'!Q5</f>
        <v>2.0300272366872951</v>
      </c>
      <c r="R5" s="2"/>
      <c r="S5" s="1" t="s">
        <v>14</v>
      </c>
      <c r="T5" s="4">
        <f ca="1">com_share_state_target*'LEAP Statewide'!T5</f>
        <v>8.3815187040596673</v>
      </c>
      <c r="U5" s="4">
        <f ca="1">com_share_state_target*'LEAP Statewide'!U5</f>
        <v>6.2692403638169392</v>
      </c>
      <c r="V5" s="4">
        <f ca="1">com_share_state_target*'LEAP Statewide'!V5</f>
        <v>3.8878959135391482</v>
      </c>
      <c r="W5" s="5">
        <f ca="1">com_share_state_target*'LEAP Statewide'!W5</f>
        <v>0.10150136183436476</v>
      </c>
      <c r="Y5" s="92"/>
    </row>
    <row r="6" spans="1:25" x14ac:dyDescent="0.25">
      <c r="A6" s="1" t="s">
        <v>4</v>
      </c>
      <c r="B6" s="4">
        <f>res_share_state_target*'LEAP Statewide'!B6</f>
        <v>3.1414143349330574</v>
      </c>
      <c r="C6" s="4">
        <f>res_share_state_target*'LEAP Statewide'!C6</f>
        <v>2.5459114436153127</v>
      </c>
      <c r="D6" s="4">
        <f>res_share_state_target*'LEAP Statewide'!D6</f>
        <v>1.7346070458108622</v>
      </c>
      <c r="E6" s="5">
        <f>res_share_state_target*'LEAP Statewide'!E6</f>
        <v>0.68564782440712824</v>
      </c>
      <c r="G6" s="1" t="s">
        <v>4</v>
      </c>
      <c r="H6" s="4">
        <f>res_share_state_target*'LEAP Statewide'!H6</f>
        <v>3.1605359874065631</v>
      </c>
      <c r="I6" s="4">
        <f>res_share_state_target*'LEAP Statewide'!I6</f>
        <v>2.5950814071186126</v>
      </c>
      <c r="J6" s="4">
        <f>res_share_state_target*'LEAP Statewide'!J6</f>
        <v>1.5106105454069398</v>
      </c>
      <c r="K6" s="5">
        <f>res_share_state_target*'LEAP Statewide'!K6</f>
        <v>0.48896797039392809</v>
      </c>
      <c r="L6" s="21"/>
      <c r="M6" s="1" t="s">
        <v>15</v>
      </c>
      <c r="N6" s="89">
        <f ca="1">com_share_state_target*'LEAP Statewide'!N6</f>
        <v>15.570833912435525</v>
      </c>
      <c r="O6" s="89">
        <f ca="1">com_share_state_target*'LEAP Statewide'!O6</f>
        <v>15.732711084326537</v>
      </c>
      <c r="P6" s="89">
        <f ca="1">com_share_state_target*'LEAP Statewide'!P6</f>
        <v>15.586146617884674</v>
      </c>
      <c r="Q6" s="90">
        <f ca="1">com_share_state_target*'LEAP Statewide'!Q6</f>
        <v>15.658335086430666</v>
      </c>
      <c r="R6" s="4"/>
      <c r="S6" s="1" t="s">
        <v>15</v>
      </c>
      <c r="T6" s="89">
        <f ca="1">com_share_state_target*'LEAP Statewide'!T6</f>
        <v>15.570615159500536</v>
      </c>
      <c r="U6" s="89">
        <f ca="1">com_share_state_target*'LEAP Statewide'!U6</f>
        <v>15.732054825521573</v>
      </c>
      <c r="V6" s="89">
        <f ca="1">com_share_state_target*'LEAP Statewide'!V6</f>
        <v>15.585271606144723</v>
      </c>
      <c r="W6" s="90">
        <f ca="1">com_share_state_target*'LEAP Statewide'!W6</f>
        <v>15.659210098170616</v>
      </c>
      <c r="Y6" s="92"/>
    </row>
    <row r="7" spans="1:25" x14ac:dyDescent="0.25">
      <c r="A7" s="1" t="s">
        <v>5</v>
      </c>
      <c r="B7" s="4">
        <f>res_share_state_target*'LEAP Statewide'!B7</f>
        <v>0.31687309813237796</v>
      </c>
      <c r="C7" s="4">
        <f>res_share_state_target*'LEAP Statewide'!C7</f>
        <v>1.7837770093141623</v>
      </c>
      <c r="D7" s="4">
        <f>res_share_state_target*'LEAP Statewide'!D7</f>
        <v>3.3626791706979078</v>
      </c>
      <c r="E7" s="5">
        <f>res_share_state_target*'LEAP Statewide'!E7</f>
        <v>4.6383665571446366</v>
      </c>
      <c r="G7" s="1" t="s">
        <v>5</v>
      </c>
      <c r="H7" s="4">
        <f>res_share_state_target*'LEAP Statewide'!H7</f>
        <v>0.55452792173166143</v>
      </c>
      <c r="I7" s="4">
        <f>res_share_state_target*'LEAP Statewide'!I7</f>
        <v>3.1059026946251187</v>
      </c>
      <c r="J7" s="4">
        <f>res_share_state_target*'LEAP Statewide'!J7</f>
        <v>5.9987355474026041</v>
      </c>
      <c r="K7" s="5">
        <f>res_share_state_target*'LEAP Statewide'!K7</f>
        <v>8.2632855331934767</v>
      </c>
      <c r="M7" s="1" t="s">
        <v>8</v>
      </c>
      <c r="N7" s="4">
        <f ca="1">com_share_state_target*'LEAP Statewide'!N7</f>
        <v>6.3372725265981611</v>
      </c>
      <c r="O7" s="4">
        <f ca="1">com_share_state_target*'LEAP Statewide'!O7</f>
        <v>6.5078998158886883</v>
      </c>
      <c r="P7" s="4">
        <f ca="1">com_share_state_target*'LEAP Statewide'!P7</f>
        <v>6.5560254615860165</v>
      </c>
      <c r="Q7" s="5">
        <f ca="1">com_share_state_target*'LEAP Statewide'!Q7</f>
        <v>6.7682158085242357</v>
      </c>
      <c r="R7" s="4"/>
      <c r="S7" s="1" t="s">
        <v>8</v>
      </c>
      <c r="T7" s="4">
        <f ca="1">com_share_state_target*'LEAP Statewide'!T7</f>
        <v>6.1581138728431082</v>
      </c>
      <c r="U7" s="4">
        <f ca="1">com_share_state_target*'LEAP Statewide'!U7</f>
        <v>5.3806659418962708</v>
      </c>
      <c r="V7" s="4">
        <f ca="1">com_share_state_target*'LEAP Statewide'!V7</f>
        <v>4.4419970978633847</v>
      </c>
      <c r="W7" s="5">
        <f ca="1">com_share_state_target*'LEAP Statewide'!W7</f>
        <v>3.0078528560830073</v>
      </c>
      <c r="Y7" s="92"/>
    </row>
    <row r="8" spans="1:25" x14ac:dyDescent="0.25">
      <c r="A8" s="1" t="s">
        <v>6</v>
      </c>
      <c r="B8" s="4">
        <f>res_share_state_target*'LEAP Statewide'!B8</f>
        <v>3.5511640307938908E-2</v>
      </c>
      <c r="C8" s="4">
        <f>res_share_state_target*'LEAP Statewide'!C8</f>
        <v>0.2622398053509335</v>
      </c>
      <c r="D8" s="4">
        <f>res_share_state_target*'LEAP Statewide'!D8</f>
        <v>0.89325433697661727</v>
      </c>
      <c r="E8" s="5">
        <f>res_share_state_target*'LEAP Statewide'!E8</f>
        <v>1.85480028993004</v>
      </c>
      <c r="G8" s="1" t="s">
        <v>6</v>
      </c>
      <c r="H8" s="4">
        <f>res_share_state_target*'LEAP Statewide'!H8</f>
        <v>0.15297321978804454</v>
      </c>
      <c r="I8" s="4">
        <f>res_share_state_target*'LEAP Statewide'!I8</f>
        <v>0.95061929439713388</v>
      </c>
      <c r="J8" s="4">
        <f>res_share_state_target*'LEAP Statewide'!J8</f>
        <v>2.0678701317776733</v>
      </c>
      <c r="K8" s="5">
        <f>res_share_state_target*'LEAP Statewide'!K8</f>
        <v>3.4309707866747132</v>
      </c>
      <c r="M8" s="1" t="s">
        <v>9</v>
      </c>
      <c r="N8" s="4">
        <f ca="1">com_share_state_target*'LEAP Statewide'!N8</f>
        <v>6.1053944155110349</v>
      </c>
      <c r="O8" s="4">
        <f ca="1">com_share_state_target*'LEAP Statewide'!O8</f>
        <v>7.4157244960882869</v>
      </c>
      <c r="P8" s="4">
        <f ca="1">com_share_state_target*'LEAP Statewide'!P8</f>
        <v>8.6648037548689398</v>
      </c>
      <c r="Q8" s="5">
        <f ca="1">com_share_state_target*'LEAP Statewide'!Q8</f>
        <v>10.865458280846761</v>
      </c>
      <c r="R8" s="4"/>
      <c r="S8" s="1" t="s">
        <v>9</v>
      </c>
      <c r="T8" s="4">
        <f ca="1">com_share_state_target*'LEAP Statewide'!T8</f>
        <v>5.661107204550702</v>
      </c>
      <c r="U8" s="4">
        <f ca="1">com_share_state_target*'LEAP Statewide'!U8</f>
        <v>4.6382184805474918</v>
      </c>
      <c r="V8" s="4">
        <f ca="1">com_share_state_target*'LEAP Statewide'!V8</f>
        <v>3.4525775729133166</v>
      </c>
      <c r="W8" s="5">
        <f ca="1">com_share_state_target*'LEAP Statewide'!W8</f>
        <v>1.5977714371512934</v>
      </c>
      <c r="Y8" s="23"/>
    </row>
    <row r="9" spans="1:25" x14ac:dyDescent="0.25">
      <c r="A9" s="1" t="s">
        <v>7</v>
      </c>
      <c r="B9" s="4">
        <f>res_share_state_target*'LEAP Statewide'!B9</f>
        <v>2.6579096938172739</v>
      </c>
      <c r="C9" s="4">
        <f>res_share_state_target*'LEAP Statewide'!C9</f>
        <v>2.1334300831154067</v>
      </c>
      <c r="D9" s="4">
        <f>res_share_state_target*'LEAP Statewide'!D9</f>
        <v>1.6280721248870456</v>
      </c>
      <c r="E9" s="5">
        <f>res_share_state_target*'LEAP Statewide'!E9</f>
        <v>0.8058410685263061</v>
      </c>
      <c r="G9" s="1" t="s">
        <v>7</v>
      </c>
      <c r="H9" s="4">
        <f>res_share_state_target*'LEAP Statewide'!H9</f>
        <v>2.6087397303139737</v>
      </c>
      <c r="I9" s="4">
        <f>res_share_state_target*'LEAP Statewide'!I9</f>
        <v>1.8793852716816901</v>
      </c>
      <c r="J9" s="4">
        <f>res_share_state_target*'LEAP Statewide'!J9</f>
        <v>1.1664208008838397</v>
      </c>
      <c r="K9" s="5">
        <f>res_share_state_target*'LEAP Statewide'!K9</f>
        <v>0</v>
      </c>
      <c r="L9" s="21"/>
      <c r="M9" s="1" t="s">
        <v>16</v>
      </c>
      <c r="N9" s="4">
        <f ca="1">com_share_state_target*'LEAP Statewide'!N9</f>
        <v>0.85969903450227048</v>
      </c>
      <c r="O9" s="4">
        <f ca="1">com_share_state_target*'LEAP Statewide'!O9</f>
        <v>0.64094609951441539</v>
      </c>
      <c r="P9" s="4">
        <f ca="1">com_share_state_target*'LEAP Statewide'!P9</f>
        <v>0.39375528297813911</v>
      </c>
      <c r="Q9" s="5">
        <f ca="1">com_share_state_target*'LEAP Statewide'!Q9</f>
        <v>0</v>
      </c>
      <c r="R9" s="2"/>
      <c r="S9" s="1" t="s">
        <v>16</v>
      </c>
      <c r="T9" s="4">
        <f ca="1">com_share_state_target*'LEAP Statewide'!T9</f>
        <v>0.8590427756973068</v>
      </c>
      <c r="U9" s="4">
        <f ca="1">com_share_state_target*'LEAP Statewide'!U9</f>
        <v>0.63985233483947612</v>
      </c>
      <c r="V9" s="4">
        <f ca="1">com_share_state_target*'LEAP Statewide'!V9</f>
        <v>0.39288027123818769</v>
      </c>
      <c r="W9" s="5">
        <f ca="1">com_share_state_target*'LEAP Statewide'!W9</f>
        <v>0</v>
      </c>
      <c r="Y9" s="23"/>
    </row>
    <row r="10" spans="1:25" x14ac:dyDescent="0.25">
      <c r="A10" s="1" t="s">
        <v>8</v>
      </c>
      <c r="B10" s="4">
        <f>res_share_state_target*'LEAP Statewide'!B10</f>
        <v>15.332833619112392</v>
      </c>
      <c r="C10" s="4">
        <f>res_share_state_target*'LEAP Statewide'!C10</f>
        <v>12.284295881907791</v>
      </c>
      <c r="D10" s="4">
        <f>res_share_state_target*'LEAP Statewide'!D10</f>
        <v>9.0745899309979272</v>
      </c>
      <c r="E10" s="5">
        <f>res_share_state_target*'LEAP Statewide'!E10</f>
        <v>3.2752659022475963</v>
      </c>
      <c r="G10" s="1" t="s">
        <v>8</v>
      </c>
      <c r="H10" s="4">
        <f>res_share_state_target*'LEAP Statewide'!H10</f>
        <v>15.152543752933626</v>
      </c>
      <c r="I10" s="4">
        <f>res_share_state_target*'LEAP Statewide'!I10</f>
        <v>11.576794740388085</v>
      </c>
      <c r="J10" s="4">
        <f>res_share_state_target*'LEAP Statewide'!J10</f>
        <v>8.102117319488217</v>
      </c>
      <c r="K10" s="5">
        <f>res_share_state_target*'LEAP Statewide'!K10</f>
        <v>2.7343963037112959</v>
      </c>
      <c r="L10" s="21"/>
      <c r="M10" s="1" t="s">
        <v>17</v>
      </c>
      <c r="N10" s="4">
        <f ca="1">com_share_state_target*'LEAP Statewide'!N10</f>
        <v>2.736599216698067</v>
      </c>
      <c r="O10" s="4">
        <f ca="1">com_share_state_target*'LEAP Statewide'!O10</f>
        <v>2.9116015646883509</v>
      </c>
      <c r="P10" s="4">
        <f ca="1">com_share_state_target*'LEAP Statewide'!P10</f>
        <v>3.0406657963311856</v>
      </c>
      <c r="Q10" s="5">
        <f ca="1">com_share_state_target*'LEAP Statewide'!Q10</f>
        <v>3.3075443770163688</v>
      </c>
      <c r="R10" s="4"/>
      <c r="S10" s="1" t="s">
        <v>17</v>
      </c>
      <c r="T10" s="4">
        <f ca="1">com_share_state_target*'LEAP Statewide'!T10</f>
        <v>2.9378519168868937</v>
      </c>
      <c r="U10" s="4">
        <f ca="1">com_share_state_target*'LEAP Statewide'!U10</f>
        <v>4.173805999568275</v>
      </c>
      <c r="V10" s="4">
        <f ca="1">com_share_state_target*'LEAP Statewide'!V10</f>
        <v>5.4080100587697526</v>
      </c>
      <c r="W10" s="5">
        <f ca="1">com_share_state_target*'LEAP Statewide'!W10</f>
        <v>7.5194133872725306</v>
      </c>
      <c r="Y10" s="23"/>
    </row>
    <row r="11" spans="1:25" x14ac:dyDescent="0.25">
      <c r="A11" s="1" t="s">
        <v>9</v>
      </c>
      <c r="B11" s="4">
        <f>res_share_state_target*'LEAP Statewide'!B11</f>
        <v>13.237646840943997</v>
      </c>
      <c r="C11" s="4">
        <f>res_share_state_target*'LEAP Statewide'!C11</f>
        <v>17.182170579764289</v>
      </c>
      <c r="D11" s="4">
        <f>res_share_state_target*'LEAP Statewide'!D11</f>
        <v>22.082776942259859</v>
      </c>
      <c r="E11" s="5">
        <f>res_share_state_target*'LEAP Statewide'!E11</f>
        <v>32.342909326615128</v>
      </c>
      <c r="G11" s="1" t="s">
        <v>9</v>
      </c>
      <c r="H11" s="4">
        <f>res_share_state_target*'LEAP Statewide'!H11</f>
        <v>12.054836052225724</v>
      </c>
      <c r="I11" s="4">
        <f>res_share_state_target*'LEAP Statewide'!I11</f>
        <v>9.5881428831435063</v>
      </c>
      <c r="J11" s="4">
        <f>res_share_state_target*'LEAP Statewide'!J11</f>
        <v>5.3458676986643425</v>
      </c>
      <c r="K11" s="5">
        <f>res_share_state_target*'LEAP Statewide'!K11</f>
        <v>0.66379450729455036</v>
      </c>
      <c r="L11" s="21"/>
      <c r="M11" s="7" t="s">
        <v>12</v>
      </c>
      <c r="N11" s="8">
        <f ca="1">SUM(N4:N10)</f>
        <v>40.084287807174569</v>
      </c>
      <c r="O11" s="8">
        <f ca="1">SUM(O4:O10)</f>
        <v>40.055849925626141</v>
      </c>
      <c r="P11" s="8">
        <f ca="1">SUM(P4:P10)</f>
        <v>39.213651125922901</v>
      </c>
      <c r="Q11" s="9">
        <f ca="1">SUM(Q4:Q10)</f>
        <v>38.629580789505326</v>
      </c>
      <c r="R11" s="4"/>
      <c r="S11" s="7" t="s">
        <v>12</v>
      </c>
      <c r="T11" s="8">
        <f ca="1">SUM(T4:T10)</f>
        <v>39.658375842753209</v>
      </c>
      <c r="U11" s="8">
        <f ca="1">SUM(U4:U10)</f>
        <v>37.397345506718736</v>
      </c>
      <c r="V11" s="8">
        <f ca="1">SUM(V4:V10)</f>
        <v>34.225865455264817</v>
      </c>
      <c r="W11" s="9">
        <f ca="1">SUM(W4:W10)</f>
        <v>29.765711863797442</v>
      </c>
    </row>
    <row r="12" spans="1:25" x14ac:dyDescent="0.25">
      <c r="A12" s="1" t="s">
        <v>10</v>
      </c>
      <c r="B12" s="4">
        <f>res_share_state_target*'LEAP Statewide'!B12</f>
        <v>28.351947288930614</v>
      </c>
      <c r="C12" s="4">
        <f>res_share_state_target*'LEAP Statewide'!C12</f>
        <v>22.273993466994913</v>
      </c>
      <c r="D12" s="4">
        <f>res_share_state_target*'LEAP Statewide'!D12</f>
        <v>14.682697435013203</v>
      </c>
      <c r="E12" s="5">
        <f>res_share_state_target*'LEAP Statewide'!E12</f>
        <v>3.9308654156249303</v>
      </c>
      <c r="G12" s="1" t="s">
        <v>10</v>
      </c>
      <c r="H12" s="4">
        <f>res_share_state_target*'LEAP Statewide'!H12</f>
        <v>27.797419367198952</v>
      </c>
      <c r="I12" s="4">
        <f>res_share_state_target*'LEAP Statewide'!I12</f>
        <v>19.919298548114657</v>
      </c>
      <c r="J12" s="4">
        <f>res_share_state_target*'LEAP Statewide'!J12</f>
        <v>12.276100887990575</v>
      </c>
      <c r="K12" s="5">
        <f>res_share_state_target*'LEAP Statewide'!K12</f>
        <v>0</v>
      </c>
      <c r="L12" s="21"/>
    </row>
    <row r="13" spans="1:25" x14ac:dyDescent="0.25">
      <c r="A13" s="1" t="s">
        <v>11</v>
      </c>
      <c r="B13" s="4">
        <f>res_share_state_target*'LEAP Statewide'!B13</f>
        <v>1.7591920275625121</v>
      </c>
      <c r="C13" s="4">
        <f>res_share_state_target*'LEAP Statewide'!C13</f>
        <v>2.3301099371286069</v>
      </c>
      <c r="D13" s="4">
        <f>res_share_state_target*'LEAP Statewide'!D13</f>
        <v>2.8764428649430518</v>
      </c>
      <c r="E13" s="5">
        <f>res_share_state_target*'LEAP Statewide'!E13</f>
        <v>3.720527238416369</v>
      </c>
      <c r="G13" s="1" t="s">
        <v>11</v>
      </c>
      <c r="H13" s="4">
        <f>res_share_state_target*'LEAP Statewide'!H13</f>
        <v>2.024163497552518</v>
      </c>
      <c r="I13" s="4">
        <f>res_share_state_target*'LEAP Statewide'!I13</f>
        <v>3.7041372505819354</v>
      </c>
      <c r="J13" s="4">
        <f>res_share_state_target*'LEAP Statewide'!J13</f>
        <v>4.9907512955849533</v>
      </c>
      <c r="K13" s="5">
        <f>res_share_state_target*'LEAP Statewide'!K13</f>
        <v>6.2118053892502374</v>
      </c>
      <c r="L13" s="21"/>
      <c r="N13" s="21"/>
      <c r="O13" s="21"/>
      <c r="P13" s="21"/>
      <c r="Q13" s="21"/>
      <c r="T13" s="21"/>
      <c r="U13" s="21"/>
      <c r="V13" s="21"/>
      <c r="W13" s="21"/>
    </row>
    <row r="14" spans="1:25" x14ac:dyDescent="0.25">
      <c r="A14" s="7" t="s">
        <v>12</v>
      </c>
      <c r="B14" s="8">
        <f>SUM(B4:B13)</f>
        <v>85.536614843268538</v>
      </c>
      <c r="C14" s="8">
        <f>SUM(C4:C13)</f>
        <v>79.868410717193683</v>
      </c>
      <c r="D14" s="8">
        <f>SUM(D4:D13)</f>
        <v>74.082745011638721</v>
      </c>
      <c r="E14" s="9">
        <f>SUM(E4:E13)</f>
        <v>67.327338359213101</v>
      </c>
      <c r="G14" s="7" t="s">
        <v>12</v>
      </c>
      <c r="H14" s="8">
        <f>SUM(H4:H13)</f>
        <v>84.506777274338333</v>
      </c>
      <c r="I14" s="8">
        <f>SUM(I4:I13)</f>
        <v>74.232986566787687</v>
      </c>
      <c r="J14" s="8">
        <f>SUM(J4:J13)</f>
        <v>62.336587063628144</v>
      </c>
      <c r="K14" s="9">
        <f>SUM(K4:K13)</f>
        <v>44.056287298956818</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76.486609894022266</v>
      </c>
      <c r="C24" s="4">
        <f>res_share_state_target*'LEAP Statewide'!C24*1000</f>
        <v>62.828286698661152</v>
      </c>
      <c r="D24" s="4">
        <f>res_share_state_target*'LEAP Statewide'!D24*1000</f>
        <v>54.633292781444482</v>
      </c>
      <c r="E24" s="5">
        <f>res_share_state_target*'LEAP Statewide'!E24*1000</f>
        <v>46.438298864227804</v>
      </c>
      <c r="G24" s="1" t="s">
        <v>21</v>
      </c>
      <c r="H24" s="4">
        <f>res_share_state_target*'LEAP Statewide'!H24*1000</f>
        <v>76.486609894022266</v>
      </c>
      <c r="I24" s="4">
        <f>res_share_state_target*'LEAP Statewide'!I24*1000</f>
        <v>62.828286698661152</v>
      </c>
      <c r="J24" s="4">
        <f>res_share_state_target*'LEAP Statewide'!J24*1000</f>
        <v>30.048311029794462</v>
      </c>
      <c r="K24" s="5">
        <f>res_share_state_target*'LEAP Statewide'!K24*1000</f>
        <v>2.7316646390722239</v>
      </c>
    </row>
    <row r="25" spans="1:16" x14ac:dyDescent="0.25">
      <c r="A25" s="1" t="s">
        <v>22</v>
      </c>
      <c r="B25" s="4">
        <f>res_share_state_target*'LEAP Statewide'!B25*1000</f>
        <v>10.926658556288896</v>
      </c>
      <c r="C25" s="4">
        <f>res_share_state_target*'LEAP Statewide'!C25*1000</f>
        <v>8.1949939172166726</v>
      </c>
      <c r="D25" s="4">
        <f>res_share_state_target*'LEAP Statewide'!D25*1000</f>
        <v>8.1949939172166726</v>
      </c>
      <c r="E25" s="5">
        <f>res_share_state_target*'LEAP Statewide'!E25*1000</f>
        <v>5.4633292781444478</v>
      </c>
      <c r="G25" s="1" t="s">
        <v>22</v>
      </c>
      <c r="H25" s="4">
        <f>res_share_state_target*'LEAP Statewide'!H25*1000</f>
        <v>10.926658556288896</v>
      </c>
      <c r="I25" s="4">
        <f>res_share_state_target*'LEAP Statewide'!I25*1000</f>
        <v>8.1949939172166726</v>
      </c>
      <c r="J25" s="4">
        <f>res_share_state_target*'LEAP Statewide'!J25*1000</f>
        <v>2.7316646390722239</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5.4633292781444478</v>
      </c>
      <c r="K26" s="5">
        <f>res_share_state_target*'LEAP Statewide'!K26*1000</f>
        <v>13.65832319536112</v>
      </c>
    </row>
    <row r="27" spans="1:16" x14ac:dyDescent="0.25">
      <c r="A27" s="1" t="s">
        <v>20</v>
      </c>
      <c r="B27" s="4">
        <f>res_share_state_target*'LEAP Statewide'!B27*1000</f>
        <v>2.7316646390722239</v>
      </c>
      <c r="C27" s="4">
        <f>res_share_state_target*'LEAP Statewide'!C27*1000</f>
        <v>2.7316646390722239</v>
      </c>
      <c r="D27" s="4">
        <f>res_share_state_target*'LEAP Statewide'!D27*1000</f>
        <v>2.7316646390722239</v>
      </c>
      <c r="E27" s="5">
        <f>res_share_state_target*'LEAP Statewide'!E27*1000</f>
        <v>2.7316646390722239</v>
      </c>
      <c r="G27" s="1" t="s">
        <v>20</v>
      </c>
      <c r="H27" s="4">
        <f>res_share_state_target*'LEAP Statewide'!H27*1000</f>
        <v>2.7316646390722239</v>
      </c>
      <c r="I27" s="4">
        <f>res_share_state_target*'LEAP Statewide'!I27*1000</f>
        <v>2.7316646390722239</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2.7316646390722239</v>
      </c>
      <c r="K28" s="5">
        <f>res_share_state_target*'LEAP Statewide'!K28*1000</f>
        <v>2.7316646390722239</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90.144933089383386</v>
      </c>
      <c r="C30" s="8">
        <f>SUM(C24:C29)</f>
        <v>73.754945254950044</v>
      </c>
      <c r="D30" s="8">
        <f>SUM(D24:D29)</f>
        <v>65.559951337733381</v>
      </c>
      <c r="E30" s="9">
        <f>SUM(E24:E29)</f>
        <v>54.633292781444474</v>
      </c>
      <c r="G30" s="7" t="s">
        <v>12</v>
      </c>
      <c r="H30" s="8">
        <f>SUM(H24:H29)</f>
        <v>90.144933089383386</v>
      </c>
      <c r="I30" s="8">
        <f>SUM(I24:I29)</f>
        <v>73.754945254950044</v>
      </c>
      <c r="J30" s="8">
        <f>SUM(J24:J29)</f>
        <v>40.974969586083354</v>
      </c>
      <c r="K30" s="9">
        <f>SUM(K24:K29)</f>
        <v>19.12165247350557</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res_share_state_target*'LEAP Statewide'!B49</f>
        <v>0.28136145782443905</v>
      </c>
      <c r="C49" s="20">
        <f>res_share_state_target*'LEAP Statewide'!C49</f>
        <v>1.3467106670626063</v>
      </c>
      <c r="D49" s="20">
        <f>res_share_state_target*'LEAP Statewide'!D49</f>
        <v>2.3355732664067514</v>
      </c>
      <c r="E49" s="20">
        <f>res_share_state_target*'LEAP Statewide'!E49</f>
        <v>3.8516471410918358</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538</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0.37137984496124032</v>
      </c>
      <c r="I4" s="4">
        <f>res_share_region_target*'LEAP Scenario'!I4</f>
        <v>1.3263565891472868</v>
      </c>
      <c r="J4" s="4">
        <f>res_share_region_target*'LEAP Scenario'!J4</f>
        <v>2.1752248062015505</v>
      </c>
      <c r="K4" s="5">
        <f>res_share_region_target*'LEAP Scenario'!K4</f>
        <v>3.3689457364341089</v>
      </c>
      <c r="L4" s="21"/>
      <c r="M4" s="1" t="s">
        <v>13</v>
      </c>
      <c r="N4" s="4">
        <f>com_share_region_target*'LEAP Scenario'!N4</f>
        <v>0</v>
      </c>
      <c r="O4" s="4">
        <f>com_share_region_target*'LEAP Scenario'!O4</f>
        <v>0</v>
      </c>
      <c r="P4" s="4">
        <f>com_share_region_target*'LEAP Scenario'!P4</f>
        <v>0</v>
      </c>
      <c r="Q4" s="5">
        <f>com_share_region_target*'LEAP Scenario'!Q4</f>
        <v>0</v>
      </c>
      <c r="R4" s="2"/>
      <c r="S4" s="1" t="s">
        <v>13</v>
      </c>
      <c r="T4" s="4">
        <f>com_share_region_target*'LEAP Scenario'!T4</f>
        <v>0.2467443454420836</v>
      </c>
      <c r="U4" s="4">
        <f>com_share_region_target*'LEAP Scenario'!U4</f>
        <v>1.5113091158327621</v>
      </c>
      <c r="V4" s="4">
        <f>com_share_region_target*'LEAP Scenario'!V4</f>
        <v>2.8375599725839615</v>
      </c>
      <c r="W4" s="5">
        <f>com_share_region_target*'LEAP Scenario'!W4</f>
        <v>5.0582590815627135</v>
      </c>
      <c r="Y4" s="23"/>
    </row>
    <row r="5" spans="1:25" x14ac:dyDescent="0.25">
      <c r="A5" s="1" t="s">
        <v>3</v>
      </c>
      <c r="B5" s="4">
        <f>res_share_region_target*'LEAP Scenario'!B5</f>
        <v>50.136279069767447</v>
      </c>
      <c r="C5" s="4">
        <f>res_share_region_target*'LEAP Scenario'!C5</f>
        <v>41.594542635658918</v>
      </c>
      <c r="D5" s="4">
        <f>res_share_region_target*'LEAP Scenario'!D5</f>
        <v>34.511798449612407</v>
      </c>
      <c r="E5" s="5">
        <f>res_share_region_target*'LEAP Scenario'!E5</f>
        <v>26.288387596899227</v>
      </c>
      <c r="G5" s="1" t="s">
        <v>3</v>
      </c>
      <c r="H5" s="4">
        <f>res_share_region_target*'LEAP Scenario'!H5</f>
        <v>49.313937984496128</v>
      </c>
      <c r="I5" s="4">
        <f>res_share_region_target*'LEAP Scenario'!I5</f>
        <v>38.994883720930233</v>
      </c>
      <c r="J5" s="4">
        <f>res_share_region_target*'LEAP Scenario'!J5</f>
        <v>29.922604651162793</v>
      </c>
      <c r="K5" s="5">
        <f>res_share_region_target*'LEAP Scenario'!K5</f>
        <v>19.895348837209305</v>
      </c>
      <c r="L5" s="21"/>
      <c r="M5" s="1" t="s">
        <v>14</v>
      </c>
      <c r="N5" s="4">
        <f>com_share_region_target*'LEAP Scenario'!N5</f>
        <v>12.738176833447566</v>
      </c>
      <c r="O5" s="4">
        <f>com_share_region_target*'LEAP Scenario'!O5</f>
        <v>10.455791638108293</v>
      </c>
      <c r="P5" s="4">
        <f>com_share_region_target*'LEAP Scenario'!P5</f>
        <v>7.8032899246058935</v>
      </c>
      <c r="Q5" s="5">
        <f>com_share_region_target*'LEAP Scenario'!Q5</f>
        <v>3.6394790952707332</v>
      </c>
      <c r="R5" s="2"/>
      <c r="S5" s="1" t="s">
        <v>14</v>
      </c>
      <c r="T5" s="4">
        <f>com_share_region_target*'LEAP Scenario'!T5</f>
        <v>12.583961617546263</v>
      </c>
      <c r="U5" s="4">
        <f>com_share_region_target*'LEAP Scenario'!U5</f>
        <v>9.3762851267991767</v>
      </c>
      <c r="V5" s="4">
        <f>com_share_region_target*'LEAP Scenario'!V5</f>
        <v>5.7676490747087037</v>
      </c>
      <c r="W5" s="5">
        <f>com_share_region_target*'LEAP Scenario'!W5</f>
        <v>3.0843043180260449E-2</v>
      </c>
      <c r="Y5" s="92"/>
    </row>
    <row r="6" spans="1:25" x14ac:dyDescent="0.25">
      <c r="A6" s="1" t="s">
        <v>4</v>
      </c>
      <c r="B6" s="4">
        <f>res_share_region_target*'LEAP Scenario'!B6</f>
        <v>5.0666821705426361</v>
      </c>
      <c r="C6" s="4">
        <f>res_share_region_target*'LEAP Scenario'!C6</f>
        <v>3.7668527131782947</v>
      </c>
      <c r="D6" s="4">
        <f>res_share_region_target*'LEAP Scenario'!D6</f>
        <v>2.1752248062015505</v>
      </c>
      <c r="E6" s="5">
        <f>res_share_region_target*'LEAP Scenario'!E6</f>
        <v>0.63665116279069767</v>
      </c>
      <c r="G6" s="1" t="s">
        <v>4</v>
      </c>
      <c r="H6" s="4">
        <f>res_share_region_target*'LEAP Scenario'!H6</f>
        <v>5.4911162790697681</v>
      </c>
      <c r="I6" s="4">
        <f>res_share_region_target*'LEAP Scenario'!I6</f>
        <v>4.9605736434108527</v>
      </c>
      <c r="J6" s="4">
        <f>res_share_region_target*'LEAP Scenario'!J6</f>
        <v>2.7057674418604654</v>
      </c>
      <c r="K6" s="5">
        <f>res_share_region_target*'LEAP Scenario'!K6</f>
        <v>0.82234108527131788</v>
      </c>
      <c r="L6" s="21"/>
      <c r="M6" s="1" t="s">
        <v>15</v>
      </c>
      <c r="N6" s="89">
        <f>com_share_region_target*'LEAP Scenario'!N6</f>
        <v>23.25565455791638</v>
      </c>
      <c r="O6" s="89">
        <f>com_share_region_target*'LEAP Scenario'!O6</f>
        <v>24.73612063056888</v>
      </c>
      <c r="P6" s="89">
        <f>com_share_region_target*'LEAP Scenario'!P6</f>
        <v>25.815627141877997</v>
      </c>
      <c r="Q6" s="90">
        <f>com_share_region_target*'LEAP Scenario'!Q6</f>
        <v>28.09801233721727</v>
      </c>
      <c r="R6" s="4"/>
      <c r="S6" s="1" t="s">
        <v>15</v>
      </c>
      <c r="T6" s="89">
        <f>com_share_region_target*'LEAP Scenario'!T6</f>
        <v>22.947224126113774</v>
      </c>
      <c r="U6" s="89">
        <f>com_share_region_target*'LEAP Scenario'!U6</f>
        <v>22.731322823851951</v>
      </c>
      <c r="V6" s="89">
        <f>com_share_region_target*'LEAP Scenario'!V6</f>
        <v>22.021932830705961</v>
      </c>
      <c r="W6" s="90">
        <f>com_share_region_target*'LEAP Scenario'!W6</f>
        <v>21.343385880740232</v>
      </c>
      <c r="Y6" s="92"/>
    </row>
    <row r="7" spans="1:25" x14ac:dyDescent="0.25">
      <c r="A7" s="1" t="s">
        <v>5</v>
      </c>
      <c r="B7" s="4">
        <f>res_share_region_target*'LEAP Scenario'!B7</f>
        <v>0.68970542635658916</v>
      </c>
      <c r="C7" s="4">
        <f>res_share_region_target*'LEAP Scenario'!C7</f>
        <v>3.2628372093023259</v>
      </c>
      <c r="D7" s="4">
        <f>res_share_region_target*'LEAP Scenario'!D7</f>
        <v>5.0666821705426361</v>
      </c>
      <c r="E7" s="5">
        <f>res_share_region_target*'LEAP Scenario'!E7</f>
        <v>6.3665116279069771</v>
      </c>
      <c r="G7" s="1" t="s">
        <v>5</v>
      </c>
      <c r="H7" s="4">
        <f>res_share_region_target*'LEAP Scenario'!H7</f>
        <v>0.61012403100775203</v>
      </c>
      <c r="I7" s="4">
        <f>res_share_region_target*'LEAP Scenario'!I7</f>
        <v>2.9179844961240313</v>
      </c>
      <c r="J7" s="4">
        <f>res_share_region_target*'LEAP Scenario'!J7</f>
        <v>5.9686046511627913</v>
      </c>
      <c r="K7" s="5">
        <f>res_share_region_target*'LEAP Scenario'!K7</f>
        <v>7.1623255813953497</v>
      </c>
      <c r="M7" s="1" t="s">
        <v>8</v>
      </c>
      <c r="N7" s="4">
        <f>com_share_region_target*'LEAP Scenario'!N7</f>
        <v>9.5921864290609999</v>
      </c>
      <c r="O7" s="4">
        <f>com_share_region_target*'LEAP Scenario'!O7</f>
        <v>10.363262508567511</v>
      </c>
      <c r="P7" s="4">
        <f>com_share_region_target*'LEAP Scenario'!P7</f>
        <v>10.94928032899246</v>
      </c>
      <c r="Q7" s="5">
        <f>com_share_region_target*'LEAP Scenario'!Q7</f>
        <v>12.152159013022617</v>
      </c>
      <c r="R7" s="4"/>
      <c r="S7" s="1" t="s">
        <v>8</v>
      </c>
      <c r="T7" s="4">
        <f>com_share_region_target*'LEAP Scenario'!T7</f>
        <v>9.2220699108978739</v>
      </c>
      <c r="U7" s="4">
        <f>com_share_region_target*'LEAP Scenario'!U7</f>
        <v>7.9575051405071964</v>
      </c>
      <c r="V7" s="4">
        <f>com_share_region_target*'LEAP Scenario'!V7</f>
        <v>6.4461960246744336</v>
      </c>
      <c r="W7" s="5">
        <f>com_share_region_target*'LEAP Scenario'!W7</f>
        <v>4.1021247429746399</v>
      </c>
      <c r="Y7" s="92"/>
    </row>
    <row r="8" spans="1:25" x14ac:dyDescent="0.25">
      <c r="A8" s="1" t="s">
        <v>6</v>
      </c>
      <c r="B8" s="4">
        <f>res_share_region_target*'LEAP Scenario'!B8</f>
        <v>7.9581395348837208E-2</v>
      </c>
      <c r="C8" s="4">
        <f>res_share_region_target*'LEAP Scenario'!C8</f>
        <v>0.34485271317829458</v>
      </c>
      <c r="D8" s="4">
        <f>res_share_region_target*'LEAP Scenario'!D8</f>
        <v>1.2467751937984497</v>
      </c>
      <c r="E8" s="5">
        <f>res_share_region_target*'LEAP Scenario'!E8</f>
        <v>2.9975658914728682</v>
      </c>
      <c r="G8" s="1" t="s">
        <v>6</v>
      </c>
      <c r="H8" s="4">
        <f>res_share_region_target*'LEAP Scenario'!H8</f>
        <v>0.42443410852713181</v>
      </c>
      <c r="I8" s="4">
        <f>res_share_region_target*'LEAP Scenario'!I8</f>
        <v>1.2202480620155041</v>
      </c>
      <c r="J8" s="4">
        <f>res_share_region_target*'LEAP Scenario'!J8</f>
        <v>2.3874418604651164</v>
      </c>
      <c r="K8" s="5">
        <f>res_share_region_target*'LEAP Scenario'!K8</f>
        <v>3.3424186046511632</v>
      </c>
      <c r="M8" s="1" t="s">
        <v>9</v>
      </c>
      <c r="N8" s="4">
        <f>com_share_region_target*'LEAP Scenario'!N8</f>
        <v>0</v>
      </c>
      <c r="O8" s="4">
        <f>com_share_region_target*'LEAP Scenario'!O8</f>
        <v>0</v>
      </c>
      <c r="P8" s="4">
        <f>com_share_region_target*'LEAP Scenario'!P8</f>
        <v>0</v>
      </c>
      <c r="Q8" s="5">
        <f>com_share_region_target*'LEAP Scenario'!Q8</f>
        <v>0</v>
      </c>
      <c r="R8" s="4"/>
      <c r="S8" s="1" t="s">
        <v>9</v>
      </c>
      <c r="T8" s="4">
        <f>com_share_region_target*'LEAP Scenario'!T8</f>
        <v>0</v>
      </c>
      <c r="U8" s="4">
        <f>com_share_region_target*'LEAP Scenario'!U8</f>
        <v>0</v>
      </c>
      <c r="V8" s="4">
        <f>com_share_region_target*'LEAP Scenario'!V8</f>
        <v>0</v>
      </c>
      <c r="W8" s="5">
        <f>com_share_region_target*'LEAP Scenario'!W8</f>
        <v>0</v>
      </c>
      <c r="Y8" s="23"/>
    </row>
    <row r="9" spans="1:25" x14ac:dyDescent="0.25">
      <c r="A9" s="1" t="s">
        <v>7</v>
      </c>
      <c r="B9" s="4">
        <f>res_share_region_target*'LEAP Scenario'!B9</f>
        <v>3.4220000000000002</v>
      </c>
      <c r="C9" s="4">
        <f>res_share_region_target*'LEAP Scenario'!C9</f>
        <v>4.3504496124031009</v>
      </c>
      <c r="D9" s="4">
        <f>res_share_region_target*'LEAP Scenario'!D9</f>
        <v>5.3319534883720934</v>
      </c>
      <c r="E9" s="5">
        <f>res_share_region_target*'LEAP Scenario'!E9</f>
        <v>1.3528837209302327</v>
      </c>
      <c r="G9" s="1" t="s">
        <v>7</v>
      </c>
      <c r="H9" s="4">
        <f>res_share_region_target*'LEAP Scenario'!H9</f>
        <v>3.1832558139534886</v>
      </c>
      <c r="I9" s="4">
        <f>res_share_region_target*'LEAP Scenario'!I9</f>
        <v>3.6872713178294578</v>
      </c>
      <c r="J9" s="4">
        <f>res_share_region_target*'LEAP Scenario'!J9</f>
        <v>4.2708682170542636</v>
      </c>
      <c r="K9" s="5">
        <f>res_share_region_target*'LEAP Scenario'!K9</f>
        <v>0</v>
      </c>
      <c r="L9" s="21"/>
      <c r="M9" s="1" t="s">
        <v>16</v>
      </c>
      <c r="N9" s="4">
        <f>com_share_region_target*'LEAP Scenario'!N9</f>
        <v>1.2954078135709388</v>
      </c>
      <c r="O9" s="4">
        <f>com_share_region_target*'LEAP Scenario'!O9</f>
        <v>0.95613433858807395</v>
      </c>
      <c r="P9" s="4">
        <f>com_share_region_target*'LEAP Scenario'!P9</f>
        <v>0.58601782042494854</v>
      </c>
      <c r="Q9" s="5">
        <f>com_share_region_target*'LEAP Scenario'!Q9</f>
        <v>0</v>
      </c>
      <c r="R9" s="2"/>
      <c r="S9" s="1" t="s">
        <v>16</v>
      </c>
      <c r="T9" s="4">
        <f>com_share_region_target*'LEAP Scenario'!T9</f>
        <v>1.2954078135709388</v>
      </c>
      <c r="U9" s="4">
        <f>com_share_region_target*'LEAP Scenario'!U9</f>
        <v>0.95613433858807395</v>
      </c>
      <c r="V9" s="4">
        <f>com_share_region_target*'LEAP Scenario'!V9</f>
        <v>0.58601782042494854</v>
      </c>
      <c r="W9" s="5">
        <f>com_share_region_target*'LEAP Scenario'!W9</f>
        <v>0</v>
      </c>
      <c r="Y9" s="23"/>
    </row>
    <row r="10" spans="1:25" x14ac:dyDescent="0.25">
      <c r="A10" s="1" t="s">
        <v>8</v>
      </c>
      <c r="B10" s="4">
        <f>res_share_region_target*'LEAP Scenario'!B10</f>
        <v>19.17911627906977</v>
      </c>
      <c r="C10" s="4">
        <f>res_share_region_target*'LEAP Scenario'!C10</f>
        <v>15.651007751937986</v>
      </c>
      <c r="D10" s="4">
        <f>res_share_region_target*'LEAP Scenario'!D10</f>
        <v>12.520806201550389</v>
      </c>
      <c r="E10" s="5">
        <f>res_share_region_target*'LEAP Scenario'!E10</f>
        <v>8.3825736434108542</v>
      </c>
      <c r="G10" s="1" t="s">
        <v>8</v>
      </c>
      <c r="H10" s="4">
        <f>res_share_region_target*'LEAP Scenario'!H10</f>
        <v>18.754682170542637</v>
      </c>
      <c r="I10" s="4">
        <f>res_share_region_target*'LEAP Scenario'!I10</f>
        <v>14.669503875968994</v>
      </c>
      <c r="J10" s="4">
        <f>res_share_region_target*'LEAP Scenario'!J10</f>
        <v>9.390604651162791</v>
      </c>
      <c r="K10" s="5">
        <f>res_share_region_target*'LEAP Scenario'!K10</f>
        <v>3.2893643410852715</v>
      </c>
      <c r="L10" s="21"/>
      <c r="M10" s="1" t="s">
        <v>17</v>
      </c>
      <c r="N10" s="4">
        <f>com_share_region_target*'LEAP Scenario'!N10</f>
        <v>4.1638108293351603</v>
      </c>
      <c r="O10" s="4">
        <f>com_share_region_target*'LEAP Scenario'!O10</f>
        <v>4.6572995202193281</v>
      </c>
      <c r="P10" s="4">
        <f>com_share_region_target*'LEAP Scenario'!P10</f>
        <v>5.1199451679232348</v>
      </c>
      <c r="Q10" s="5">
        <f>com_share_region_target*'LEAP Scenario'!Q10</f>
        <v>5.9218642906100065</v>
      </c>
      <c r="R10" s="4"/>
      <c r="S10" s="1" t="s">
        <v>17</v>
      </c>
      <c r="T10" s="4">
        <f>com_share_region_target*'LEAP Scenario'!T10</f>
        <v>4.3488690884167234</v>
      </c>
      <c r="U10" s="4">
        <f>com_share_region_target*'LEAP Scenario'!U10</f>
        <v>5.9527073337902667</v>
      </c>
      <c r="V10" s="4">
        <f>com_share_region_target*'LEAP Scenario'!V10</f>
        <v>7.5257025359835499</v>
      </c>
      <c r="W10" s="5">
        <f>com_share_region_target*'LEAP Scenario'!W10</f>
        <v>10.23989033584647</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f>SUM(N4:N10)</f>
        <v>51.045236463331051</v>
      </c>
      <c r="O11" s="8">
        <f>SUM(O4:O10)</f>
        <v>51.168608636052078</v>
      </c>
      <c r="P11" s="8">
        <f>SUM(P4:P10)</f>
        <v>50.27416038382453</v>
      </c>
      <c r="Q11" s="9">
        <f>SUM(Q4:Q10)</f>
        <v>49.811514736120628</v>
      </c>
      <c r="R11" s="4"/>
      <c r="S11" s="7" t="s">
        <v>12</v>
      </c>
      <c r="T11" s="8">
        <f>SUM(T4:T10)</f>
        <v>50.644276901987652</v>
      </c>
      <c r="U11" s="8">
        <f>SUM(U4:U10)</f>
        <v>48.48526387936942</v>
      </c>
      <c r="V11" s="8">
        <f>SUM(V4:V10)</f>
        <v>45.185058259081558</v>
      </c>
      <c r="W11" s="9">
        <f>SUM(W4:W10)</f>
        <v>40.774503084304314</v>
      </c>
    </row>
    <row r="12" spans="1:25" x14ac:dyDescent="0.25">
      <c r="A12" s="1" t="s">
        <v>10</v>
      </c>
      <c r="B12" s="4">
        <f>res_share_region_target*'LEAP Scenario'!B12</f>
        <v>46.714279069767443</v>
      </c>
      <c r="C12" s="4">
        <f>res_share_region_target*'LEAP Scenario'!C12</f>
        <v>35.599410852713184</v>
      </c>
      <c r="D12" s="4">
        <f>res_share_region_target*'LEAP Scenario'!D12</f>
        <v>24.935503875968994</v>
      </c>
      <c r="E12" s="5">
        <f>res_share_region_target*'LEAP Scenario'!E12</f>
        <v>10.902651162790699</v>
      </c>
      <c r="G12" s="1" t="s">
        <v>10</v>
      </c>
      <c r="H12" s="4">
        <f>res_share_region_target*'LEAP Scenario'!H12</f>
        <v>44.936961240310083</v>
      </c>
      <c r="I12" s="4">
        <f>res_share_region_target*'LEAP Scenario'!I12</f>
        <v>30.187875968992252</v>
      </c>
      <c r="J12" s="4">
        <f>res_share_region_target*'LEAP Scenario'!J12</f>
        <v>15.942806201550388</v>
      </c>
      <c r="K12" s="5">
        <f>res_share_region_target*'LEAP Scenario'!K12</f>
        <v>0</v>
      </c>
      <c r="L12" s="21"/>
    </row>
    <row r="13" spans="1:25" x14ac:dyDescent="0.25">
      <c r="A13" s="1" t="s">
        <v>11</v>
      </c>
      <c r="B13" s="4">
        <f>res_share_region_target*'LEAP Scenario'!B13</f>
        <v>9.6558759689922482</v>
      </c>
      <c r="C13" s="4">
        <f>res_share_region_target*'LEAP Scenario'!C13</f>
        <v>8.5682635658914741</v>
      </c>
      <c r="D13" s="4">
        <f>res_share_region_target*'LEAP Scenario'!D13</f>
        <v>7.6928682170542642</v>
      </c>
      <c r="E13" s="5">
        <f>res_share_region_target*'LEAP Scenario'!E13</f>
        <v>6.8705271317829464</v>
      </c>
      <c r="G13" s="1" t="s">
        <v>11</v>
      </c>
      <c r="H13" s="4">
        <f>res_share_region_target*'LEAP Scenario'!H13</f>
        <v>8.3825736434108542</v>
      </c>
      <c r="I13" s="4">
        <f>res_share_region_target*'LEAP Scenario'!I13</f>
        <v>9.3640775193798458</v>
      </c>
      <c r="J13" s="4">
        <f>res_share_region_target*'LEAP Scenario'!J13</f>
        <v>8.4091007751937994</v>
      </c>
      <c r="K13" s="5">
        <f>res_share_region_target*'LEAP Scenario'!K13</f>
        <v>7.8520310077519389</v>
      </c>
      <c r="L13" s="21"/>
      <c r="N13" s="21"/>
      <c r="O13" s="21"/>
      <c r="P13" s="21"/>
      <c r="Q13" s="21"/>
      <c r="T13" s="21"/>
      <c r="U13" s="21"/>
      <c r="V13" s="21"/>
      <c r="W13" s="21"/>
    </row>
    <row r="14" spans="1:25" x14ac:dyDescent="0.25">
      <c r="A14" s="7" t="s">
        <v>12</v>
      </c>
      <c r="B14" s="8">
        <f>SUM(B4:B13)</f>
        <v>134.94351937984499</v>
      </c>
      <c r="C14" s="8">
        <f>SUM(C4:C13)</f>
        <v>113.13821705426358</v>
      </c>
      <c r="D14" s="8">
        <f>SUM(D4:D13)</f>
        <v>93.481612403100783</v>
      </c>
      <c r="E14" s="9">
        <f>SUM(E4:E13)</f>
        <v>63.797751937984486</v>
      </c>
      <c r="G14" s="7" t="s">
        <v>12</v>
      </c>
      <c r="H14" s="8">
        <f>SUM(H4:H13)</f>
        <v>131.46846511627908</v>
      </c>
      <c r="I14" s="8">
        <f>SUM(I4:I13)</f>
        <v>107.32877519379845</v>
      </c>
      <c r="J14" s="8">
        <f>SUM(J4:J13)</f>
        <v>81.173023255813945</v>
      </c>
      <c r="K14" s="9">
        <f>SUM(K4:K13)</f>
        <v>45.73277519379846</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77.247007751937986</v>
      </c>
      <c r="C24" s="4">
        <f>res_share_region_target*'LEAP Scenario'!C24</f>
        <v>62.869302325581401</v>
      </c>
      <c r="D24" s="4">
        <f>res_share_region_target*'LEAP Scenario'!D24</f>
        <v>53.584806201550393</v>
      </c>
      <c r="E24" s="5">
        <f>res_share_region_target*'LEAP Scenario'!E24</f>
        <v>44.990015503875973</v>
      </c>
      <c r="G24" s="1" t="s">
        <v>21</v>
      </c>
      <c r="H24" s="4">
        <f>res_share_region_target*'LEAP Scenario'!H24</f>
        <v>77.5388062015504</v>
      </c>
      <c r="I24" s="4">
        <f>res_share_region_target*'LEAP Scenario'!I24</f>
        <v>55.547813953488379</v>
      </c>
      <c r="J24" s="4">
        <f>res_share_region_target*'LEAP Scenario'!J24</f>
        <v>30.930635658914731</v>
      </c>
      <c r="K24" s="5">
        <f>res_share_region_target*'LEAP Scenario'!K24</f>
        <v>2.4139689922480621</v>
      </c>
    </row>
    <row r="25" spans="1:16" x14ac:dyDescent="0.25">
      <c r="A25" s="1" t="s">
        <v>22</v>
      </c>
      <c r="B25" s="4">
        <f>res_share_region_target*'LEAP Scenario'!B25</f>
        <v>10.478217054263567</v>
      </c>
      <c r="C25" s="4">
        <f>res_share_region_target*'LEAP Scenario'!C25</f>
        <v>8.4621550387596898</v>
      </c>
      <c r="D25" s="4">
        <f>res_share_region_target*'LEAP Scenario'!D25</f>
        <v>7.1623255813953497</v>
      </c>
      <c r="E25" s="5">
        <f>res_share_region_target*'LEAP Scenario'!E25</f>
        <v>5.9420775193798452</v>
      </c>
      <c r="G25" s="1" t="s">
        <v>22</v>
      </c>
      <c r="H25" s="4">
        <f>res_share_region_target*'LEAP Scenario'!H25</f>
        <v>10.345581395348837</v>
      </c>
      <c r="I25" s="4">
        <f>res_share_region_target*'LEAP Scenario'!I25</f>
        <v>6.8970542635658916</v>
      </c>
      <c r="J25" s="4">
        <f>res_share_region_target*'LEAP Scenario'!J25</f>
        <v>3.7403255813953491</v>
      </c>
      <c r="K25" s="5">
        <f>res_share_region_target*'LEAP Scenario'!K25</f>
        <v>0.42443410852713181</v>
      </c>
    </row>
    <row r="26" spans="1:16" x14ac:dyDescent="0.25">
      <c r="A26" s="1" t="s">
        <v>23</v>
      </c>
      <c r="B26" s="4">
        <f>res_share_region_target*'LEAP Scenario'!B26</f>
        <v>7.9581395348837208E-2</v>
      </c>
      <c r="C26" s="4">
        <f>res_share_region_target*'LEAP Scenario'!C26</f>
        <v>0.23874418604651165</v>
      </c>
      <c r="D26" s="4">
        <f>res_share_region_target*'LEAP Scenario'!D26</f>
        <v>0.37137984496124032</v>
      </c>
      <c r="E26" s="5">
        <f>res_share_region_target*'LEAP Scenario'!E26</f>
        <v>0.55706976744186054</v>
      </c>
      <c r="G26" s="1" t="s">
        <v>23</v>
      </c>
      <c r="H26" s="4">
        <f>res_share_region_target*'LEAP Scenario'!H26</f>
        <v>7.9581395348837208E-2</v>
      </c>
      <c r="I26" s="4">
        <f>res_share_region_target*'LEAP Scenario'!I26</f>
        <v>2.1752248062015505</v>
      </c>
      <c r="J26" s="4">
        <f>res_share_region_target*'LEAP Scenario'!J26</f>
        <v>6.3134573643410858</v>
      </c>
      <c r="K26" s="5">
        <f>res_share_region_target*'LEAP Scenario'!K26</f>
        <v>12.229007751937985</v>
      </c>
    </row>
    <row r="27" spans="1:16" x14ac:dyDescent="0.25">
      <c r="A27" s="1" t="s">
        <v>20</v>
      </c>
      <c r="B27" s="4">
        <f>res_share_region_target*'LEAP Scenario'!B27</f>
        <v>2.8118759689922483</v>
      </c>
      <c r="C27" s="4">
        <f>res_share_region_target*'LEAP Scenario'!C27</f>
        <v>2.6527131782945736</v>
      </c>
      <c r="D27" s="4">
        <f>res_share_region_target*'LEAP Scenario'!D27</f>
        <v>2.5996589147286824</v>
      </c>
      <c r="E27" s="5">
        <f>res_share_region_target*'LEAP Scenario'!E27</f>
        <v>2.5731317829457367</v>
      </c>
      <c r="G27" s="1" t="s">
        <v>20</v>
      </c>
      <c r="H27" s="4">
        <f>res_share_region_target*'LEAP Scenario'!H27</f>
        <v>2.5996589147286824</v>
      </c>
      <c r="I27" s="4">
        <f>res_share_region_target*'LEAP Scenario'!I27</f>
        <v>1.6181550387596901</v>
      </c>
      <c r="J27" s="4">
        <f>res_share_region_target*'LEAP Scenario'!J27</f>
        <v>0.87539534883720937</v>
      </c>
      <c r="K27" s="5">
        <f>res_share_region_target*'LEAP Scenario'!K27</f>
        <v>2.6527131782945738E-2</v>
      </c>
    </row>
    <row r="28" spans="1:16" x14ac:dyDescent="0.25">
      <c r="A28" s="1" t="s">
        <v>18</v>
      </c>
      <c r="B28" s="4">
        <f>res_share_region_target*'LEAP Scenario'!B28</f>
        <v>2.6527131782945738E-2</v>
      </c>
      <c r="C28" s="4">
        <f>res_share_region_target*'LEAP Scenario'!C28</f>
        <v>2.6527131782945738E-2</v>
      </c>
      <c r="D28" s="4">
        <f>res_share_region_target*'LEAP Scenario'!D28</f>
        <v>2.6527131782945738E-2</v>
      </c>
      <c r="E28" s="5">
        <f>res_share_region_target*'LEAP Scenario'!E28</f>
        <v>0</v>
      </c>
      <c r="G28" s="1" t="s">
        <v>18</v>
      </c>
      <c r="H28" s="4">
        <f>res_share_region_target*'LEAP Scenario'!H28</f>
        <v>0.21221705426356591</v>
      </c>
      <c r="I28" s="4">
        <f>res_share_region_target*'LEAP Scenario'!I28</f>
        <v>1.0080310077519381</v>
      </c>
      <c r="J28" s="4">
        <f>res_share_region_target*'LEAP Scenario'!J28</f>
        <v>1.6181550387596901</v>
      </c>
      <c r="K28" s="5">
        <f>res_share_region_target*'LEAP Scenario'!K28</f>
        <v>2.3078604651162791</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90.643209302325587</v>
      </c>
      <c r="C30" s="8">
        <f>SUM(C24:C29)</f>
        <v>74.249441860465126</v>
      </c>
      <c r="D30" s="8">
        <f>SUM(D24:D29)</f>
        <v>63.744697674418617</v>
      </c>
      <c r="E30" s="9">
        <f>SUM(E24:E29)</f>
        <v>54.062294573643413</v>
      </c>
      <c r="G30" s="7" t="s">
        <v>12</v>
      </c>
      <c r="H30" s="8">
        <f>SUM(H24:H29)</f>
        <v>90.775844961240324</v>
      </c>
      <c r="I30" s="8">
        <f>SUM(I24:I29)</f>
        <v>67.246279069767454</v>
      </c>
      <c r="J30" s="8">
        <f>SUM(J24:J29)</f>
        <v>43.477968992248059</v>
      </c>
      <c r="K30" s="9">
        <f>SUM(K24:K29)</f>
        <v>17.401798449612404</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res_share_region_target*'LEAP Scenario'!B49</f>
        <v>0.31832558139534883</v>
      </c>
      <c r="C49" s="20">
        <f>res_share_region_target*'LEAP Scenario'!C49</f>
        <v>1.4855193798449613</v>
      </c>
      <c r="D49" s="20">
        <f>res_share_region_target*'LEAP Scenario'!D49</f>
        <v>2.3343875968992251</v>
      </c>
      <c r="E49" s="20">
        <f>res_share_region_target*'LEAP Scenario'!E49</f>
        <v>3.4220000000000002</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31" t="s">
        <v>25</v>
      </c>
      <c r="C4" s="232"/>
      <c r="D4" s="232"/>
      <c r="E4" s="232"/>
      <c r="F4" s="233"/>
      <c r="H4" s="231" t="s">
        <v>30</v>
      </c>
      <c r="I4" s="232"/>
      <c r="J4" s="232"/>
      <c r="K4" s="232"/>
      <c r="L4" s="233"/>
      <c r="N4" s="231" t="s">
        <v>30</v>
      </c>
      <c r="O4" s="232"/>
      <c r="P4" s="232"/>
      <c r="Q4" s="232"/>
      <c r="R4" s="233"/>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476</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477</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478</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479</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480</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134943.51937984498</v>
      </c>
      <c r="J21" s="63">
        <f>'2.Heat Targets'!C24</f>
        <v>113138.21705426357</v>
      </c>
      <c r="K21" s="63">
        <f>'2.Heat Targets'!D24</f>
        <v>93481.612403100778</v>
      </c>
      <c r="L21" s="64">
        <f>'2.Heat Targets'!E24</f>
        <v>63797.751937984489</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1077.001550387597</v>
      </c>
      <c r="J22" s="63">
        <f>'2.Heat Targets'!C25</f>
        <v>5772.3038759689935</v>
      </c>
      <c r="K22" s="63">
        <f>'2.Heat Targets'!D25</f>
        <v>11364.223255813955</v>
      </c>
      <c r="L22" s="64">
        <f>'2.Heat Targets'!E25</f>
        <v>12173.300775193798</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131468.46511627908</v>
      </c>
      <c r="J23" s="63">
        <f>'2.Heat Targets'!C26</f>
        <v>107328.77519379844</v>
      </c>
      <c r="K23" s="63">
        <f>'2.Heat Targets'!D26</f>
        <v>81173.02325581394</v>
      </c>
      <c r="L23" s="64">
        <f>'2.Heat Targets'!E26</f>
        <v>45732.775193798458</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1448.381395348837</v>
      </c>
      <c r="J24" s="63">
        <f>'2.Heat Targets'!C27</f>
        <v>6621.1720930232559</v>
      </c>
      <c r="K24" s="63">
        <f>'2.Heat Targets'!D27</f>
        <v>15040.883720930233</v>
      </c>
      <c r="L24" s="64">
        <f>'2.Heat Targets'!E27</f>
        <v>21009.488372093023</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3103.6744186046471</v>
      </c>
      <c r="J25" s="63">
        <f>'2.Heat Targets'!C28</f>
        <v>4960.5736434108685</v>
      </c>
      <c r="K25" s="63">
        <f>'2.Heat Targets'!D28</f>
        <v>8631.9286821705573</v>
      </c>
      <c r="L25" s="64">
        <f>'2.Heat Targets'!E28</f>
        <v>9228.7891472868068</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308">
        <f>'2.Heat Targets'!B29</f>
        <v>33.462499999999999</v>
      </c>
      <c r="J26" s="308">
        <f>'2.Heat Targets'!C29</f>
        <v>0</v>
      </c>
      <c r="K26" s="308">
        <f>'2.Heat Targets'!D29</f>
        <v>0</v>
      </c>
      <c r="L26" s="308">
        <f>'2.Heat Targets'!E29</f>
        <v>0</v>
      </c>
      <c r="O26" s="308">
        <f>'2.Heat Targets'!B29</f>
        <v>33.462499999999999</v>
      </c>
      <c r="P26" s="308"/>
      <c r="Q26" s="308"/>
      <c r="R26" s="308"/>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92.750823118555019</v>
      </c>
      <c r="J27" s="63">
        <f>'2.Heat Targets'!C30</f>
        <v>148.2427685741014</v>
      </c>
      <c r="K27" s="63">
        <f>'2.Heat Targets'!D30</f>
        <v>257.9582721604948</v>
      </c>
      <c r="L27" s="64">
        <f>'2.Heat Targets'!E30</f>
        <v>275.79496891406222</v>
      </c>
      <c r="O27" s="62">
        <f>O25/$O$26</f>
        <v>304.09786534755693</v>
      </c>
      <c r="P27" s="63">
        <f>P25/$O$26</f>
        <v>1317.0347658372521</v>
      </c>
      <c r="Q27" s="63">
        <f>Q25/$O$26</f>
        <v>1985.751488116937</v>
      </c>
      <c r="R27" s="64">
        <f>R25/$O$26</f>
        <v>4229.5421765712281</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605</v>
      </c>
      <c r="J28" s="203">
        <f>'2.Heat Targets'!C31</f>
        <v>641.30000000000007</v>
      </c>
      <c r="K28" s="203">
        <f>'2.Heat Targets'!D31</f>
        <v>679.77800000000013</v>
      </c>
      <c r="L28" s="203">
        <f>'2.Heat Targets'!E31</f>
        <v>720.56468000000018</v>
      </c>
      <c r="O28" s="203">
        <f>'2.Heat Targets'!B31</f>
        <v>605</v>
      </c>
      <c r="P28" s="203">
        <f>'2.Heat Targets'!C31</f>
        <v>641.30000000000007</v>
      </c>
      <c r="Q28" s="203">
        <f>'2.Heat Targets'!D31</f>
        <v>679.77800000000013</v>
      </c>
      <c r="R28" s="203">
        <f>'2.Heat Targets'!E31</f>
        <v>720.56468000000018</v>
      </c>
      <c r="T28" t="str">
        <f>'2.Heat Targets'!G31</f>
        <v>Enter a projection of the number of future residences in the area by each year.</v>
      </c>
    </row>
    <row r="29" spans="8:20" x14ac:dyDescent="0.25">
      <c r="I29" s="86">
        <f>'2.Heat Targets'!B32</f>
        <v>0.15330714565050416</v>
      </c>
      <c r="J29" s="87">
        <f>'2.Heat Targets'!C32</f>
        <v>0.23115978258865022</v>
      </c>
      <c r="K29" s="87">
        <f>'2.Heat Targets'!D32</f>
        <v>0.37947428742985906</v>
      </c>
      <c r="L29" s="88">
        <f>'2.Heat Targets'!E32</f>
        <v>0.38274838688188567</v>
      </c>
      <c r="O29" s="104">
        <f>O27/O28</f>
        <v>0.50264109974802795</v>
      </c>
      <c r="P29" s="105">
        <f>P27/P28</f>
        <v>2.0536952531377701</v>
      </c>
      <c r="Q29" s="105">
        <f>Q27/Q28</f>
        <v>2.9211764548381041</v>
      </c>
      <c r="R29" s="106">
        <f>R27/R28</f>
        <v>5.8697606113183722</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133.85</v>
      </c>
      <c r="J34" s="94">
        <f>'2.Heat Targets'!C54</f>
        <v>126.11481577512728</v>
      </c>
      <c r="K34" s="94">
        <f>'2.Heat Targets'!D54</f>
        <v>121.15184165687833</v>
      </c>
      <c r="L34" s="95">
        <f>'2.Heat Targets'!E54</f>
        <v>121.04228210396488</v>
      </c>
      <c r="O34" s="107">
        <f>'1.Current Heat'!B10</f>
        <v>133.85</v>
      </c>
      <c r="P34" s="108">
        <f>P29*($O$34-$O$26)+(1-P29)*$O$34</f>
        <v>65.128222591877375</v>
      </c>
      <c r="Q34" s="108">
        <f>Q29*($O$34-$O$26)+(1-Q29)*$O$34</f>
        <v>36.100132879979924</v>
      </c>
      <c r="R34" s="110">
        <f>R29*($O$34-$O$26)+(1-R29)*$O$34</f>
        <v>-62.566864456241092</v>
      </c>
      <c r="T34" t="str">
        <f>'2.Heat Targets'!G54</f>
        <v>This is a projection of the average area residential heating load, in millions of Btu, computed based on values inputted above and in the "1.Current Heat" tab</v>
      </c>
    </row>
    <row r="35" spans="9:20" x14ac:dyDescent="0.25">
      <c r="I35" s="81">
        <f>'2.Heat Targets'!B55</f>
        <v>48491.596899224809</v>
      </c>
      <c r="J35" s="82">
        <f>'2.Heat Targets'!C55</f>
        <v>35201.503875968992</v>
      </c>
      <c r="K35" s="82">
        <f>'2.Heat Targets'!D55</f>
        <v>22388.899224806202</v>
      </c>
      <c r="L35" s="83">
        <f>'2.Heat Targets'!E55</f>
        <v>3368.9457364341088</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7.658643326039387E-3</v>
      </c>
      <c r="J36" s="97">
        <f>'2.Heat Targets'!C56</f>
        <v>3.7678975131876409E-2</v>
      </c>
      <c r="K36" s="97">
        <f>'2.Heat Targets'!D56</f>
        <v>9.7156398104265407E-2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362.28312961692052</v>
      </c>
      <c r="J37" s="63">
        <f>'2.Heat Targets'!C57</f>
        <v>279.12266817830562</v>
      </c>
      <c r="K37" s="63">
        <f>'2.Heat Targets'!D57</f>
        <v>184.80032097419695</v>
      </c>
      <c r="L37" s="64">
        <f>'2.Heat Targets'!E57</f>
        <v>27.832800884739392</v>
      </c>
      <c r="O37" s="62">
        <f>O35/O34</f>
        <v>2083.9993411437781</v>
      </c>
      <c r="P37" s="62">
        <f>P35/P34</f>
        <v>3267.7798636972484</v>
      </c>
      <c r="Q37" s="62">
        <f>Q35/Q34</f>
        <v>4142.3891178504937</v>
      </c>
      <c r="R37" s="112">
        <f>R35/R34</f>
        <v>-787.25913631643573</v>
      </c>
      <c r="T37" t="str">
        <f>'2.Heat Targets'!G57</f>
        <v>This formula computes an estimate the number of residences using biofuel-blended heat energy in the 90x50 scenario based on values inputted in the "1.Current Heat" tab.</v>
      </c>
    </row>
    <row r="38" spans="9:20" x14ac:dyDescent="0.25">
      <c r="I38" s="65">
        <f>'2.Heat Targets'!B58</f>
        <v>0.59881509027590163</v>
      </c>
      <c r="J38" s="66">
        <f>'2.Heat Targets'!C58</f>
        <v>0.43524507746500168</v>
      </c>
      <c r="K38" s="66">
        <f>'2.Heat Targets'!D58</f>
        <v>0.27185393021574239</v>
      </c>
      <c r="L38" s="67">
        <f>'2.Heat Targets'!E58</f>
        <v>3.8626374088637519E-2</v>
      </c>
      <c r="O38" s="109">
        <f>O37/O28</f>
        <v>3.4446270101550049</v>
      </c>
      <c r="P38" s="109">
        <f>P37/P28</f>
        <v>5.0955556895325866</v>
      </c>
      <c r="Q38" s="109">
        <f>Q37/Q28</f>
        <v>6.093738128992837</v>
      </c>
      <c r="R38" s="113">
        <f>R37/R28</f>
        <v>-1.0925585976770822</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57696.511627906984</v>
      </c>
      <c r="J39" s="82">
        <f>'2.Heat Targets'!C59</f>
        <v>48358.961240310084</v>
      </c>
      <c r="K39" s="82">
        <f>'2.Heat Targets'!D59</f>
        <v>38331.705426356595</v>
      </c>
      <c r="L39" s="83">
        <f>'2.Heat Targets'!E59</f>
        <v>27747.379844961244</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431.05350487790054</v>
      </c>
      <c r="J40" s="63">
        <f>'2.Heat Targets'!C60</f>
        <v>383.45186442279663</v>
      </c>
      <c r="K40" s="63">
        <f>'2.Heat Targets'!D60</f>
        <v>316.3939144641169</v>
      </c>
      <c r="L40" s="64">
        <f>'2.Heat Targets'!E60</f>
        <v>229.23708445226305</v>
      </c>
      <c r="O40" s="62">
        <f>O39/O34</f>
        <v>1399.3377572475374</v>
      </c>
      <c r="P40" s="62">
        <f>P39/P34</f>
        <v>2970.1908942082805</v>
      </c>
      <c r="Q40" s="62">
        <f>Q39/Q34</f>
        <v>5406.0467411912932</v>
      </c>
      <c r="R40" s="112">
        <f>R39/R34</f>
        <v>-3189.5522390689575</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0.71248513202958763</v>
      </c>
      <c r="J41" s="66">
        <f>'2.Heat Targets'!C61</f>
        <v>0.59792899488974982</v>
      </c>
      <c r="K41" s="66">
        <f>'2.Heat Targets'!D61</f>
        <v>0.46543711985989078</v>
      </c>
      <c r="L41" s="67">
        <f>'2.Heat Targets'!E61</f>
        <v>0.3181353330449988</v>
      </c>
      <c r="O41" s="109">
        <f>O40/O28</f>
        <v>2.3129549706570867</v>
      </c>
      <c r="P41" s="109">
        <f>P40/P28</f>
        <v>4.631515506328209</v>
      </c>
      <c r="Q41" s="109">
        <f>Q40/Q28</f>
        <v>7.9526650482823689</v>
      </c>
      <c r="R41" s="113">
        <f>R40/R28</f>
        <v>-4.4264620895225626</v>
      </c>
      <c r="T41" t="str">
        <f>'2.Heat Targets'!G61</f>
        <v>This formula computes the estimated share of area residences using Wood heat  in the 90x50 scenario, based on values inputted in the "1.Current Heat" tab.</v>
      </c>
    </row>
    <row r="42" spans="9:20" x14ac:dyDescent="0.25">
      <c r="I42" s="81">
        <f>'2.Heat Targets'!B62</f>
        <v>1034.5581395348838</v>
      </c>
      <c r="J42" s="82">
        <f>'2.Heat Targets'!C62</f>
        <v>4138.2325581395353</v>
      </c>
      <c r="K42" s="82">
        <f>'2.Heat Targets'!D62</f>
        <v>8356.0465116279065</v>
      </c>
      <c r="L42" s="83">
        <f>'2.Heat Targets'!E62</f>
        <v>10504.744186046511</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26.50023517673004</v>
      </c>
      <c r="J43" s="63">
        <f>'2.Heat Targets'!C63</f>
        <v>113.75247848592893</v>
      </c>
      <c r="K43" s="63">
        <f>'2.Heat Targets'!D63</f>
        <v>241.40089321570156</v>
      </c>
      <c r="L43" s="64">
        <f>'2.Heat Targets'!E63</f>
        <v>306.30261649903093</v>
      </c>
      <c r="O43" s="62">
        <f>O42/((0.7*O34)/2.4)</f>
        <v>155.4139788153843</v>
      </c>
      <c r="P43" s="112">
        <f>P42/((0.75*P34)/2.6)</f>
        <v>1509.5241530598189</v>
      </c>
      <c r="Q43" s="112">
        <f>Q42/((0.8*Q34)/2.8)</f>
        <v>6401.9085996468848</v>
      </c>
      <c r="R43" s="64">
        <f>R42/((0.85*R34)/3)</f>
        <v>-5615.6780072677539</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4.3802041614429819E-2</v>
      </c>
      <c r="J44" s="66">
        <f>'2.Heat Targets'!C64</f>
        <v>0.17737794867601578</v>
      </c>
      <c r="K44" s="66">
        <f>'2.Heat Targets'!D64</f>
        <v>0.35511724888963975</v>
      </c>
      <c r="L44" s="67">
        <f>'2.Heat Targets'!E64</f>
        <v>0.42508691447245356</v>
      </c>
      <c r="O44" s="109">
        <f>O43/O28</f>
        <v>0.25688260961220544</v>
      </c>
      <c r="P44" s="109">
        <f>P43/P28</f>
        <v>2.3538502308745031</v>
      </c>
      <c r="Q44" s="109">
        <f>Q43/Q28</f>
        <v>9.4176460545161564</v>
      </c>
      <c r="R44" s="113">
        <f>R43/R28</f>
        <v>-7.7934405656238281</v>
      </c>
      <c r="T44" t="str">
        <f>'2.Heat Targets'!G64</f>
        <v>This formula computes the estimated share of area residences using Heat Pumps in the 90x50 scenario based on values inputted above and in the "1.Current Heat" tab.</v>
      </c>
    </row>
    <row r="45" spans="9:20" x14ac:dyDescent="0.25">
      <c r="I45" s="81">
        <f>'2.Heat Targets'!B65</f>
        <v>18754.682170542637</v>
      </c>
      <c r="J45" s="82">
        <f>'2.Heat Targets'!C65</f>
        <v>14669.503875968994</v>
      </c>
      <c r="K45" s="82">
        <f>'2.Heat Targets'!D65</f>
        <v>9390.6046511627901</v>
      </c>
      <c r="L45" s="83">
        <f>'2.Heat Targets'!E65</f>
        <v>3289.3643410852715</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140.11716227525318</v>
      </c>
      <c r="J46" s="63">
        <f>'2.Heat Targets'!C66</f>
        <v>116.31864016774907</v>
      </c>
      <c r="K46" s="63">
        <f>'2.Heat Targets'!D66</f>
        <v>77.511035100551794</v>
      </c>
      <c r="L46" s="64">
        <f>'2.Heat Targets'!E66</f>
        <v>27.175333147304602</v>
      </c>
      <c r="O46" s="62">
        <f>O45/O34</f>
        <v>1770.8920488641847</v>
      </c>
      <c r="P46" s="62">
        <f>P45/P34</f>
        <v>2870.5502356402858</v>
      </c>
      <c r="Q46" s="62">
        <f>Q45/Q34</f>
        <v>3265.2557556219081</v>
      </c>
      <c r="R46" s="112">
        <f>R45/R34</f>
        <v>-478.29193180777048</v>
      </c>
      <c r="T46" t="str">
        <f>'2.Heat Targets'!G66</f>
        <v>This formula computes the estimates number of area residences using fossil heat in the 90x50 scenario based on values inputted in the "1.Current Heat" tab.</v>
      </c>
    </row>
    <row r="47" spans="9:20" x14ac:dyDescent="0.25">
      <c r="I47" s="65">
        <f>'2.Heat Targets'!B67</f>
        <v>0.23159861533099699</v>
      </c>
      <c r="J47" s="66">
        <f>'2.Heat Targets'!C67</f>
        <v>0.18137944825783417</v>
      </c>
      <c r="K47" s="66">
        <f>'2.Heat Targets'!D67</f>
        <v>0.11402404182034691</v>
      </c>
      <c r="L47" s="67">
        <f>'2.Heat Targets'!E67</f>
        <v>3.7713940055047655E-2</v>
      </c>
      <c r="O47" s="109">
        <f>O46/O28</f>
        <v>2.9270942956432804</v>
      </c>
      <c r="P47" s="109">
        <f>P46/P28</f>
        <v>4.4761425785752156</v>
      </c>
      <c r="Q47" s="109">
        <f>Q46/Q28</f>
        <v>4.8034148731231481</v>
      </c>
      <c r="R47" s="113">
        <f>R46/R28</f>
        <v>-0.66377376671830535</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256" sqref="C2:C256"/>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465</v>
      </c>
      <c r="B1" s="187" t="s">
        <v>466</v>
      </c>
      <c r="C1" s="187" t="s">
        <v>467</v>
      </c>
      <c r="D1" s="190" t="s">
        <v>505</v>
      </c>
      <c r="E1" s="190" t="s">
        <v>506</v>
      </c>
      <c r="G1" t="s">
        <v>466</v>
      </c>
      <c r="H1" t="s">
        <v>505</v>
      </c>
    </row>
    <row r="2" spans="1:8" ht="15.75" x14ac:dyDescent="0.25">
      <c r="A2" s="187" t="s">
        <v>200</v>
      </c>
      <c r="B2" s="187" t="s">
        <v>201</v>
      </c>
      <c r="C2" s="187">
        <v>1415</v>
      </c>
      <c r="D2" s="189">
        <f t="shared" ref="D2:D65" si="0">C2/SUM($C$2:$C$256)</f>
        <v>2.2590914461059009E-3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5.7762493653789042E-2</v>
      </c>
    </row>
    <row r="3" spans="1:8" ht="15.75" x14ac:dyDescent="0.25">
      <c r="A3" s="187" t="s">
        <v>202</v>
      </c>
      <c r="B3" s="187" t="s">
        <v>203</v>
      </c>
      <c r="C3" s="187">
        <v>893</v>
      </c>
      <c r="D3" s="189">
        <f t="shared" si="0"/>
        <v>1.4257022341855616E-3</v>
      </c>
      <c r="E3" s="208">
        <f>town_population[[#This Row],[Pop Share of State]]/(INDEX(regional_population[Pop Share of State],MATCH(town_population[[#This Row],[Regional Planning Commission]],regional_population[Regional Planning Commission],0)))</f>
        <v>1.3844961240310079E-2</v>
      </c>
      <c r="G3" t="s">
        <v>209</v>
      </c>
      <c r="H3" s="189">
        <f>SUMIF(town_population[Regional Planning Commission],G3,town_population[Pop Share of State])</f>
        <v>5.6215455059247271E-2</v>
      </c>
    </row>
    <row r="4" spans="1:8" ht="15.75" x14ac:dyDescent="0.25">
      <c r="A4" s="187" t="s">
        <v>204</v>
      </c>
      <c r="B4" s="187" t="s">
        <v>205</v>
      </c>
      <c r="C4" s="187">
        <v>1623</v>
      </c>
      <c r="D4" s="189">
        <f t="shared" si="0"/>
        <v>2.5911699060281821E-3</v>
      </c>
      <c r="E4" s="208">
        <f>town_population[[#This Row],[Pop Share of State]]/(INDEX(regional_population[Pop Share of State],MATCH(town_population[[#This Row],[Regional Planning Commission]],regional_population[Regional Planning Commission],0)))</f>
        <v>2.9399510913866497E-2</v>
      </c>
      <c r="G4" t="s">
        <v>220</v>
      </c>
      <c r="H4" s="189">
        <f>SUMIF(town_population[Regional Planning Commission],G4,town_population[Pop Share of State])</f>
        <v>0.10352705641182838</v>
      </c>
    </row>
    <row r="5" spans="1:8" ht="15.75" x14ac:dyDescent="0.25">
      <c r="A5" s="187" t="s">
        <v>206</v>
      </c>
      <c r="B5" s="187" t="s">
        <v>207</v>
      </c>
      <c r="C5" s="187">
        <v>425</v>
      </c>
      <c r="D5" s="189">
        <f t="shared" si="0"/>
        <v>6.7852569936042962E-4</v>
      </c>
      <c r="E5" s="208">
        <f>town_population[[#This Row],[Pop Share of State]]/(INDEX(regional_population[Pop Share of State],MATCH(town_population[[#This Row],[Regional Planning Commission]],regional_population[Regional Planning Commission],0)))</f>
        <v>1.7029972752043595E-2</v>
      </c>
      <c r="G5" t="s">
        <v>233</v>
      </c>
      <c r="H5" s="189">
        <f>SUMIF(town_population[Regional Planning Commission],G5,town_population[Pop Share of State])</f>
        <v>0.25334712736166864</v>
      </c>
    </row>
    <row r="6" spans="1:8" ht="15.75" x14ac:dyDescent="0.25">
      <c r="A6" s="187" t="s">
        <v>208</v>
      </c>
      <c r="B6" s="187" t="s">
        <v>209</v>
      </c>
      <c r="C6" s="187">
        <v>2354</v>
      </c>
      <c r="D6" s="189">
        <f t="shared" si="0"/>
        <v>3.7582341089281209E-3</v>
      </c>
      <c r="E6" s="208">
        <f>town_population[[#This Row],[Pop Share of State]]/(INDEX(regional_population[Pop Share of State],MATCH(town_population[[#This Row],[Regional Planning Commission]],regional_population[Regional Planning Commission],0)))</f>
        <v>6.6854108091221484E-2</v>
      </c>
      <c r="G6" t="s">
        <v>224</v>
      </c>
      <c r="H6" s="189">
        <f>SUMIF(town_population[Regional Planning Commission],G6,town_population[Pop Share of State])</f>
        <v>3.9662621056967426E-2</v>
      </c>
    </row>
    <row r="7" spans="1:8" ht="15.75" x14ac:dyDescent="0.25">
      <c r="A7" s="187" t="s">
        <v>210</v>
      </c>
      <c r="B7" s="187" t="s">
        <v>211</v>
      </c>
      <c r="C7" s="187">
        <v>402</v>
      </c>
      <c r="D7" s="189">
        <f t="shared" si="0"/>
        <v>6.4180548504210052E-4</v>
      </c>
      <c r="E7" s="208">
        <f>town_population[[#This Row],[Pop Share of State]]/(INDEX(regional_population[Pop Share of State],MATCH(town_population[[#This Row],[Regional Planning Commission]],regional_population[Regional Planning Commission],0)))</f>
        <v>8.7058212058212063E-3</v>
      </c>
      <c r="G7" t="s">
        <v>203</v>
      </c>
      <c r="H7" s="189">
        <f>SUMIF(town_population[Regional Planning Commission],G7,town_population[Pop Share of State])</f>
        <v>0.10297625319705343</v>
      </c>
    </row>
    <row r="8" spans="1:8" ht="15.75" x14ac:dyDescent="0.25">
      <c r="A8" s="187" t="s">
        <v>212</v>
      </c>
      <c r="B8" s="187" t="s">
        <v>203</v>
      </c>
      <c r="C8" s="187">
        <v>19</v>
      </c>
      <c r="D8" s="189">
        <f t="shared" si="0"/>
        <v>3.0334090089054504E-5</v>
      </c>
      <c r="E8" s="208">
        <f>town_population[[#This Row],[Pop Share of State]]/(INDEX(regional_population[Pop Share of State],MATCH(town_population[[#This Row],[Regional Planning Commission]],regional_population[Regional Planning Commission],0)))</f>
        <v>2.9457364341085277E-4</v>
      </c>
      <c r="G8" t="s">
        <v>205</v>
      </c>
      <c r="H8" s="189">
        <f>SUMIF(town_population[Regional Planning Commission],G8,town_population[Pop Share of State])</f>
        <v>8.8136497019276519E-2</v>
      </c>
    </row>
    <row r="9" spans="1:8" ht="15.75" x14ac:dyDescent="0.25">
      <c r="A9" s="187" t="s">
        <v>213</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227</v>
      </c>
      <c r="H9" s="189">
        <f>SUMIF(town_population[Regional Planning Commission],G9,town_population[Pop Share of State])</f>
        <v>9.6186206610277186E-2</v>
      </c>
    </row>
    <row r="10" spans="1:8" ht="15.75" x14ac:dyDescent="0.25">
      <c r="A10" s="187" t="s">
        <v>214</v>
      </c>
      <c r="B10" s="187" t="s">
        <v>205</v>
      </c>
      <c r="C10" s="187">
        <v>1551</v>
      </c>
      <c r="D10" s="189">
        <f t="shared" si="0"/>
        <v>2.4762196699012386E-3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3.9843029066444428E-2</v>
      </c>
    </row>
    <row r="11" spans="1:8" ht="15.75" x14ac:dyDescent="0.25">
      <c r="A11" s="187" t="s">
        <v>215</v>
      </c>
      <c r="B11" s="187" t="s">
        <v>207</v>
      </c>
      <c r="C11" s="187">
        <v>234</v>
      </c>
      <c r="D11" s="189">
        <f t="shared" si="0"/>
        <v>3.73588267412566E-4</v>
      </c>
      <c r="E11" s="208">
        <f>town_population[[#This Row],[Pop Share of State]]/(INDEX(regional_population[Pop Share of State],MATCH(town_population[[#This Row],[Regional Planning Commission]],regional_population[Regional Planning Commission],0)))</f>
        <v>9.3765026446545937E-3</v>
      </c>
      <c r="G11" t="s">
        <v>217</v>
      </c>
      <c r="H11" s="189">
        <f>SUMIF(town_population[Regional Planning Commission],G11,town_population[Pop Share of State])</f>
        <v>8.86218424607014E-2</v>
      </c>
    </row>
    <row r="12" spans="1:8" ht="15.75" x14ac:dyDescent="0.25">
      <c r="A12" s="187" t="s">
        <v>216</v>
      </c>
      <c r="B12" s="187" t="s">
        <v>217</v>
      </c>
      <c r="C12" s="187">
        <v>899</v>
      </c>
      <c r="D12" s="189">
        <f t="shared" si="0"/>
        <v>1.4352814205294735E-3</v>
      </c>
      <c r="E12" s="208">
        <f>town_population[[#This Row],[Pop Share of State]]/(INDEX(regional_population[Pop Share of State],MATCH(town_population[[#This Row],[Regional Planning Commission]],regional_population[Regional Planning Commission],0)))</f>
        <v>1.6195571889243181E-2</v>
      </c>
      <c r="G12" t="s">
        <v>211</v>
      </c>
      <c r="H12" s="189">
        <f>SUMIF(town_population[Regional Planning Commission],G12,town_population[Pop Share of State])</f>
        <v>7.372141810274635E-2</v>
      </c>
    </row>
    <row r="13" spans="1:8" ht="15.75" x14ac:dyDescent="0.25">
      <c r="A13" s="187" t="s">
        <v>218</v>
      </c>
      <c r="B13" s="187" t="s">
        <v>203</v>
      </c>
      <c r="C13" s="187">
        <v>1648</v>
      </c>
      <c r="D13" s="189">
        <f t="shared" si="0"/>
        <v>2.6310831824611484E-3</v>
      </c>
      <c r="E13" s="208">
        <f>town_population[[#This Row],[Pop Share of State]]/(INDEX(regional_population[Pop Share of State],MATCH(town_population[[#This Row],[Regional Planning Commission]],regional_population[Regional Planning Commission],0)))</f>
        <v>2.5550387596899225E-2</v>
      </c>
    </row>
    <row r="14" spans="1:8" ht="15.75" x14ac:dyDescent="0.25">
      <c r="A14" s="187" t="s">
        <v>221</v>
      </c>
      <c r="B14" s="187" t="s">
        <v>220</v>
      </c>
      <c r="C14" s="187">
        <v>7908</v>
      </c>
      <c r="D14" s="189">
        <f t="shared" si="0"/>
        <v>1.2625367601275948E-2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219</v>
      </c>
      <c r="B15" s="187" t="s">
        <v>220</v>
      </c>
      <c r="C15" s="187">
        <v>8955</v>
      </c>
      <c r="D15" s="189">
        <f t="shared" si="0"/>
        <v>1.4296935618288582E-2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222</v>
      </c>
      <c r="B16" s="187" t="s">
        <v>203</v>
      </c>
      <c r="C16" s="187">
        <v>2766</v>
      </c>
      <c r="D16" s="189">
        <f t="shared" si="0"/>
        <v>4.4160049045434083E-3</v>
      </c>
      <c r="E16" s="208">
        <f>town_population[[#This Row],[Pop Share of State]]/(INDEX(regional_population[Pop Share of State],MATCH(town_population[[#This Row],[Regional Planning Commission]],regional_population[Regional Planning Commission],0)))</f>
        <v>4.2883720930232565E-2</v>
      </c>
    </row>
    <row r="17" spans="1:5" ht="15.75" x14ac:dyDescent="0.25">
      <c r="A17" s="187" t="s">
        <v>223</v>
      </c>
      <c r="B17" s="187" t="s">
        <v>224</v>
      </c>
      <c r="C17" s="187">
        <v>364</v>
      </c>
      <c r="D17" s="189">
        <f t="shared" si="0"/>
        <v>5.8113730486399149E-4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225</v>
      </c>
      <c r="B18" s="187" t="s">
        <v>209</v>
      </c>
      <c r="C18" s="187">
        <v>15575</v>
      </c>
      <c r="D18" s="189">
        <f t="shared" si="0"/>
        <v>2.4865971217738099E-2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226</v>
      </c>
      <c r="B19" s="187" t="s">
        <v>227</v>
      </c>
      <c r="C19" s="187">
        <v>1065</v>
      </c>
      <c r="D19" s="189">
        <f t="shared" si="0"/>
        <v>1.7003055760443709E-3</v>
      </c>
      <c r="E19" s="208">
        <f>town_population[[#This Row],[Pop Share of State]]/(INDEX(regional_population[Pop Share of State],MATCH(town_population[[#This Row],[Regional Planning Commission]],regional_population[Regional Planning Commission],0)))</f>
        <v>1.7677228741680085E-2</v>
      </c>
    </row>
    <row r="20" spans="1:5" ht="15.75" x14ac:dyDescent="0.25">
      <c r="A20" s="187" t="s">
        <v>228</v>
      </c>
      <c r="B20" s="187" t="s">
        <v>205</v>
      </c>
      <c r="C20" s="187">
        <v>1760</v>
      </c>
      <c r="D20" s="189">
        <f t="shared" si="0"/>
        <v>2.8098946608808382E-3</v>
      </c>
      <c r="E20" s="208">
        <f>town_population[[#This Row],[Pop Share of State]]/(INDEX(regional_population[Pop Share of State],MATCH(town_population[[#This Row],[Regional Planning Commission]],regional_population[Regional Planning Commission],0)))</f>
        <v>3.1881170183860157E-2</v>
      </c>
    </row>
    <row r="21" spans="1:5" ht="15.75" x14ac:dyDescent="0.25">
      <c r="A21" s="187" t="s">
        <v>229</v>
      </c>
      <c r="B21" s="187" t="s">
        <v>220</v>
      </c>
      <c r="C21" s="187">
        <v>2869</v>
      </c>
      <c r="D21" s="189">
        <f t="shared" si="0"/>
        <v>4.5804476034472302E-3</v>
      </c>
      <c r="E21" s="208">
        <f>town_population[[#This Row],[Pop Share of State]]/(INDEX(regional_population[Pop Share of State],MATCH(town_population[[#This Row],[Regional Planning Commission]],regional_population[Regional Planning Commission],0)))</f>
        <v>4.4243966381370965E-2</v>
      </c>
    </row>
    <row r="22" spans="1:5" ht="15.75" x14ac:dyDescent="0.25">
      <c r="A22" s="187" t="s">
        <v>230</v>
      </c>
      <c r="B22" s="187" t="s">
        <v>217</v>
      </c>
      <c r="C22" s="187">
        <v>1919</v>
      </c>
      <c r="D22" s="189">
        <f t="shared" si="0"/>
        <v>3.0637430989945047E-3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231</v>
      </c>
      <c r="B23" s="187" t="s">
        <v>203</v>
      </c>
      <c r="C23" s="187">
        <v>207</v>
      </c>
      <c r="D23" s="189">
        <f t="shared" si="0"/>
        <v>3.304819288649622E-4</v>
      </c>
      <c r="E23" s="208">
        <f>town_population[[#This Row],[Pop Share of State]]/(INDEX(regional_population[Pop Share of State],MATCH(town_population[[#This Row],[Regional Planning Commission]],regional_population[Regional Planning Commission],0)))</f>
        <v>3.2093023255813954E-3</v>
      </c>
    </row>
    <row r="24" spans="1:5" ht="15.75" x14ac:dyDescent="0.25">
      <c r="A24" s="187" t="s">
        <v>232</v>
      </c>
      <c r="B24" s="187" t="s">
        <v>233</v>
      </c>
      <c r="C24" s="187">
        <v>1247</v>
      </c>
      <c r="D24" s="189">
        <f t="shared" si="0"/>
        <v>1.9908742284763664E-3</v>
      </c>
      <c r="E24" s="208">
        <f>town_population[[#This Row],[Pop Share of State]]/(INDEX(regional_population[Pop Share of State],MATCH(town_population[[#This Row],[Regional Planning Commission]],regional_population[Regional Planning Commission],0)))</f>
        <v>7.8582861752139414E-3</v>
      </c>
    </row>
    <row r="25" spans="1:5" ht="15.75" x14ac:dyDescent="0.25">
      <c r="A25" s="187" t="s">
        <v>234</v>
      </c>
      <c r="B25" s="187" t="s">
        <v>217</v>
      </c>
      <c r="C25" s="187">
        <v>2776</v>
      </c>
      <c r="D25" s="189">
        <f t="shared" si="0"/>
        <v>4.431970215116595E-3</v>
      </c>
      <c r="E25" s="208">
        <f>town_population[[#This Row],[Pop Share of State]]/(INDEX(regional_population[Pop Share of State],MATCH(town_population[[#This Row],[Regional Planning Commission]],regional_population[Regional Planning Commission],0)))</f>
        <v>5.0009908303158046E-2</v>
      </c>
    </row>
    <row r="26" spans="1:5" ht="15.75" x14ac:dyDescent="0.25">
      <c r="A26" s="187" t="s">
        <v>235</v>
      </c>
      <c r="B26" s="187" t="s">
        <v>217</v>
      </c>
      <c r="C26" s="187">
        <v>1238</v>
      </c>
      <c r="D26" s="189">
        <f t="shared" si="0"/>
        <v>1.9765054489604985E-3</v>
      </c>
      <c r="E26" s="208">
        <f>town_population[[#This Row],[Pop Share of State]]/(INDEX(regional_population[Pop Share of State],MATCH(town_population[[#This Row],[Regional Planning Commission]],regional_population[Regional Planning Commission],0)))</f>
        <v>2.2302689653929987E-2</v>
      </c>
    </row>
    <row r="27" spans="1:5" ht="15.75" x14ac:dyDescent="0.25">
      <c r="A27" s="187" t="s">
        <v>236</v>
      </c>
      <c r="B27" s="187" t="s">
        <v>227</v>
      </c>
      <c r="C27" s="187">
        <v>3906</v>
      </c>
      <c r="D27" s="189">
        <f t="shared" si="0"/>
        <v>6.2360503098866779E-3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237</v>
      </c>
      <c r="B28" s="187" t="s">
        <v>211</v>
      </c>
      <c r="C28" s="187">
        <v>11876</v>
      </c>
      <c r="D28" s="189">
        <f t="shared" si="0"/>
        <v>1.8960402836716381E-2</v>
      </c>
      <c r="E28" s="208">
        <f>town_population[[#This Row],[Pop Share of State]]/(INDEX(regional_population[Pop Share of State],MATCH(town_population[[#This Row],[Regional Planning Commission]],regional_population[Regional Planning Commission],0)))</f>
        <v>0.2571898821898822</v>
      </c>
    </row>
    <row r="29" spans="1:5" ht="15.75" x14ac:dyDescent="0.25">
      <c r="A29" s="187" t="s">
        <v>238</v>
      </c>
      <c r="B29" s="187" t="s">
        <v>217</v>
      </c>
      <c r="C29" s="187">
        <v>710</v>
      </c>
      <c r="D29" s="189">
        <f t="shared" si="0"/>
        <v>1.1335370506962471E-3</v>
      </c>
      <c r="E29" s="208">
        <f>town_population[[#This Row],[Pop Share of State]]/(INDEX(regional_population[Pop Share of State],MATCH(town_population[[#This Row],[Regional Planning Commission]],regional_population[Regional Planning Commission],0)))</f>
        <v>1.2790718622205405E-2</v>
      </c>
    </row>
    <row r="30" spans="1:5" ht="15.75" x14ac:dyDescent="0.25">
      <c r="A30" s="187" t="s">
        <v>239</v>
      </c>
      <c r="B30" s="187" t="s">
        <v>201</v>
      </c>
      <c r="C30" s="187">
        <v>1180</v>
      </c>
      <c r="D30" s="189">
        <f t="shared" si="0"/>
        <v>1.8839066476360165E-3</v>
      </c>
      <c r="E30" s="208">
        <f>town_population[[#This Row],[Pop Share of State]]/(INDEX(regional_population[Pop Share of State],MATCH(town_population[[#This Row],[Regional Planning Commission]],regional_population[Regional Planning Commission],0)))</f>
        <v>3.2614704256495305E-2</v>
      </c>
    </row>
    <row r="31" spans="1:5" ht="15.75" x14ac:dyDescent="0.25">
      <c r="A31" s="187" t="s">
        <v>240</v>
      </c>
      <c r="B31" s="187" t="s">
        <v>203</v>
      </c>
      <c r="C31" s="187">
        <v>939</v>
      </c>
      <c r="D31" s="189">
        <f t="shared" si="0"/>
        <v>1.4991426628222198E-3</v>
      </c>
      <c r="E31" s="208">
        <f>town_population[[#This Row],[Pop Share of State]]/(INDEX(regional_population[Pop Share of State],MATCH(town_population[[#This Row],[Regional Planning Commission]],regional_population[Regional Planning Commission],0)))</f>
        <v>1.4558139534883722E-2</v>
      </c>
    </row>
    <row r="32" spans="1:5" ht="15.75" x14ac:dyDescent="0.25">
      <c r="A32" s="187" t="s">
        <v>241</v>
      </c>
      <c r="B32" s="187" t="s">
        <v>201</v>
      </c>
      <c r="C32" s="187">
        <v>3896</v>
      </c>
      <c r="D32" s="189">
        <f t="shared" si="0"/>
        <v>6.2200849993134921E-3</v>
      </c>
      <c r="E32" s="208">
        <f>town_population[[#This Row],[Pop Share of State]]/(INDEX(regional_population[Pop Share of State],MATCH(town_population[[#This Row],[Regional Planning Commission]],regional_population[Regional Planning Commission],0)))</f>
        <v>0.10768380320619128</v>
      </c>
    </row>
    <row r="33" spans="1:5" ht="15.75" x14ac:dyDescent="0.25">
      <c r="A33" s="187" t="s">
        <v>242</v>
      </c>
      <c r="B33" s="187" t="s">
        <v>217</v>
      </c>
      <c r="C33" s="187">
        <v>1297</v>
      </c>
      <c r="D33" s="189">
        <f t="shared" si="0"/>
        <v>2.0707007813422994E-3</v>
      </c>
      <c r="E33" s="208">
        <f>town_population[[#This Row],[Pop Share of State]]/(INDEX(regional_population[Pop Share of State],MATCH(town_population[[#This Row],[Regional Planning Commission]],regional_population[Regional Planning Commission],0)))</f>
        <v>2.3365580356338608E-2</v>
      </c>
    </row>
    <row r="34" spans="1:5" ht="15.75" x14ac:dyDescent="0.25">
      <c r="A34" s="187" t="s">
        <v>243</v>
      </c>
      <c r="B34" s="187" t="s">
        <v>211</v>
      </c>
      <c r="C34" s="187">
        <v>567</v>
      </c>
      <c r="D34" s="189">
        <f t="shared" si="0"/>
        <v>9.0523310949967904E-4</v>
      </c>
      <c r="E34" s="208">
        <f>town_population[[#This Row],[Pop Share of State]]/(INDEX(regional_population[Pop Share of State],MATCH(town_population[[#This Row],[Regional Planning Commission]],regional_population[Regional Planning Commission],0)))</f>
        <v>1.2279106029106028E-2</v>
      </c>
    </row>
    <row r="35" spans="1:5" ht="15.75" x14ac:dyDescent="0.25">
      <c r="A35" s="187" t="s">
        <v>244</v>
      </c>
      <c r="B35" s="187" t="s">
        <v>203</v>
      </c>
      <c r="C35" s="187">
        <v>973</v>
      </c>
      <c r="D35" s="189">
        <f t="shared" si="0"/>
        <v>1.5534247187710543E-3</v>
      </c>
      <c r="E35" s="208">
        <f>town_population[[#This Row],[Pop Share of State]]/(INDEX(regional_population[Pop Share of State],MATCH(town_population[[#This Row],[Regional Planning Commission]],regional_population[Regional Planning Commission],0)))</f>
        <v>1.5085271317829458E-2</v>
      </c>
    </row>
    <row r="36" spans="1:5" ht="15.75" x14ac:dyDescent="0.25">
      <c r="A36" s="187" t="s">
        <v>245</v>
      </c>
      <c r="B36" s="187" t="s">
        <v>203</v>
      </c>
      <c r="C36" s="187">
        <v>84</v>
      </c>
      <c r="D36" s="189">
        <f t="shared" si="0"/>
        <v>1.3410860881476726E-4</v>
      </c>
      <c r="E36" s="208">
        <f>town_population[[#This Row],[Pop Share of State]]/(INDEX(regional_population[Pop Share of State],MATCH(town_population[[#This Row],[Regional Planning Commission]],regional_population[Regional Planning Commission],0)))</f>
        <v>1.3023255813953488E-3</v>
      </c>
    </row>
    <row r="37" spans="1:5" ht="15.75" x14ac:dyDescent="0.25">
      <c r="A37" s="187" t="s">
        <v>246</v>
      </c>
      <c r="B37" s="187" t="s">
        <v>233</v>
      </c>
      <c r="C37" s="187">
        <v>43</v>
      </c>
      <c r="D37" s="189">
        <f t="shared" si="0"/>
        <v>6.8650835464702291E-5</v>
      </c>
      <c r="E37" s="208">
        <f>town_population[[#This Row],[Pop Share of State]]/(INDEX(regional_population[Pop Share of State],MATCH(town_population[[#This Row],[Regional Planning Commission]],regional_population[Regional Planning Commission],0)))</f>
        <v>2.7097538535220486E-4</v>
      </c>
    </row>
    <row r="38" spans="1:5" ht="15.75" x14ac:dyDescent="0.25">
      <c r="A38" s="187" t="s">
        <v>247</v>
      </c>
      <c r="B38" s="187" t="s">
        <v>203</v>
      </c>
      <c r="C38" s="187">
        <v>1711</v>
      </c>
      <c r="D38" s="189">
        <f t="shared" si="0"/>
        <v>2.7316646390722239E-3</v>
      </c>
      <c r="E38" s="208">
        <f>town_population[[#This Row],[Pop Share of State]]/(INDEX(regional_population[Pop Share of State],MATCH(town_population[[#This Row],[Regional Planning Commission]],regional_population[Regional Planning Commission],0)))</f>
        <v>2.6527131782945738E-2</v>
      </c>
    </row>
    <row r="39" spans="1:5" ht="15.75" x14ac:dyDescent="0.25">
      <c r="A39" s="188" t="s">
        <v>248</v>
      </c>
      <c r="B39" s="187" t="s">
        <v>233</v>
      </c>
      <c r="C39" s="187">
        <v>42342</v>
      </c>
      <c r="D39" s="189">
        <f t="shared" si="0"/>
        <v>6.7600318028986611E-2</v>
      </c>
      <c r="E39" s="208">
        <f>town_population[[#This Row],[Pop Share of State]]/(INDEX(regional_population[Pop Share of State],MATCH(town_population[[#This Row],[Regional Planning Commission]],regional_population[Regional Planning Commission],0)))</f>
        <v>0.26682883178100136</v>
      </c>
    </row>
    <row r="40" spans="1:5" ht="15.75" x14ac:dyDescent="0.25">
      <c r="A40" s="187" t="s">
        <v>249</v>
      </c>
      <c r="B40" s="187" t="s">
        <v>220</v>
      </c>
      <c r="C40" s="187">
        <v>1393</v>
      </c>
      <c r="D40" s="189">
        <f t="shared" si="0"/>
        <v>2.2239677628448904E-3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250</v>
      </c>
      <c r="B41" s="187" t="s">
        <v>220</v>
      </c>
      <c r="C41" s="187">
        <v>1556</v>
      </c>
      <c r="D41" s="189">
        <f t="shared" si="0"/>
        <v>2.484202325187832E-3</v>
      </c>
      <c r="E41" s="208">
        <f>town_population[[#This Row],[Pop Share of State]]/(INDEX(regional_population[Pop Share of State],MATCH(town_population[[#This Row],[Regional Planning Commission]],regional_population[Regional Planning Commission],0)))</f>
        <v>2.3995682010949187E-2</v>
      </c>
    </row>
    <row r="42" spans="1:5" ht="15.75" x14ac:dyDescent="0.25">
      <c r="A42" s="187" t="s">
        <v>251</v>
      </c>
      <c r="B42" s="187" t="s">
        <v>224</v>
      </c>
      <c r="C42" s="187">
        <v>3713</v>
      </c>
      <c r="D42" s="189">
        <f t="shared" si="0"/>
        <v>5.9279198158241776E-3</v>
      </c>
      <c r="E42" s="208">
        <f>town_population[[#This Row],[Pop Share of State]]/(INDEX(regional_population[Pop Share of State],MATCH(town_population[[#This Row],[Regional Planning Commission]],regional_population[Regional Planning Commission],0)))</f>
        <v>0.14945860000805056</v>
      </c>
    </row>
    <row r="43" spans="1:5" ht="15.75" x14ac:dyDescent="0.25">
      <c r="A43" s="187" t="s">
        <v>252</v>
      </c>
      <c r="B43" s="187" t="s">
        <v>203</v>
      </c>
      <c r="C43" s="187">
        <v>1164</v>
      </c>
      <c r="D43" s="189">
        <f t="shared" si="0"/>
        <v>1.8583621507189179E-3</v>
      </c>
      <c r="E43" s="208">
        <f>town_population[[#This Row],[Pop Share of State]]/(INDEX(regional_population[Pop Share of State],MATCH(town_population[[#This Row],[Regional Planning Commission]],regional_population[Regional Planning Commission],0)))</f>
        <v>1.8046511627906978E-2</v>
      </c>
    </row>
    <row r="44" spans="1:5" ht="15.75" x14ac:dyDescent="0.25">
      <c r="A44" s="187" t="s">
        <v>253</v>
      </c>
      <c r="B44" s="187" t="s">
        <v>227</v>
      </c>
      <c r="C44" s="187">
        <v>4669</v>
      </c>
      <c r="D44" s="189">
        <f t="shared" si="0"/>
        <v>7.4542035066208143E-3</v>
      </c>
      <c r="E44" s="208">
        <f>town_population[[#This Row],[Pop Share of State]]/(INDEX(regional_population[Pop Share of State],MATCH(town_population[[#This Row],[Regional Planning Commission]],regional_population[Regional Planning Commission],0)))</f>
        <v>7.749763473699936E-2</v>
      </c>
    </row>
    <row r="45" spans="1:5" ht="15.75" x14ac:dyDescent="0.25">
      <c r="A45" s="187" t="s">
        <v>254</v>
      </c>
      <c r="B45" s="187" t="s">
        <v>207</v>
      </c>
      <c r="C45" s="187">
        <v>1587</v>
      </c>
      <c r="D45" s="189">
        <f t="shared" si="0"/>
        <v>2.5336947879647104E-3</v>
      </c>
      <c r="E45" s="208">
        <f>town_population[[#This Row],[Pop Share of State]]/(INDEX(regional_population[Pop Share of State],MATCH(town_population[[#This Row],[Regional Planning Commission]],regional_population[Regional Planning Commission],0)))</f>
        <v>6.3591921782336913E-2</v>
      </c>
    </row>
    <row r="46" spans="1:5" ht="15.75" x14ac:dyDescent="0.25">
      <c r="A46" s="187" t="s">
        <v>255</v>
      </c>
      <c r="B46" s="187" t="s">
        <v>203</v>
      </c>
      <c r="C46" s="187">
        <v>939</v>
      </c>
      <c r="D46" s="189">
        <f t="shared" si="0"/>
        <v>1.4991426628222198E-3</v>
      </c>
      <c r="E46" s="208">
        <f>town_population[[#This Row],[Pop Share of State]]/(INDEX(regional_population[Pop Share of State],MATCH(town_population[[#This Row],[Regional Planning Commission]],regional_population[Regional Planning Commission],0)))</f>
        <v>1.4558139534883722E-2</v>
      </c>
    </row>
    <row r="47" spans="1:5" ht="15.75" x14ac:dyDescent="0.25">
      <c r="A47" s="187" t="s">
        <v>256</v>
      </c>
      <c r="B47" s="187" t="s">
        <v>233</v>
      </c>
      <c r="C47" s="187">
        <v>3810</v>
      </c>
      <c r="D47" s="189">
        <f t="shared" si="0"/>
        <v>6.0827833283840869E-3</v>
      </c>
      <c r="E47" s="208">
        <f>town_population[[#This Row],[Pop Share of State]]/(INDEX(regional_population[Pop Share of State],MATCH(town_population[[#This Row],[Regional Planning Commission]],regional_population[Regional Planning Commission],0)))</f>
        <v>2.4009679492834897E-2</v>
      </c>
    </row>
    <row r="48" spans="1:5" ht="15.75" x14ac:dyDescent="0.25">
      <c r="A48" s="187" t="s">
        <v>257</v>
      </c>
      <c r="B48" s="187" t="s">
        <v>217</v>
      </c>
      <c r="C48" s="187">
        <v>1430</v>
      </c>
      <c r="D48" s="189">
        <f t="shared" si="0"/>
        <v>2.2830394119656809E-3</v>
      </c>
      <c r="E48" s="208">
        <f>town_population[[#This Row],[Pop Share of State]]/(INDEX(regional_population[Pop Share of State],MATCH(town_population[[#This Row],[Regional Planning Commission]],regional_population[Regional Planning Commission],0)))</f>
        <v>2.5761588210920748E-2</v>
      </c>
    </row>
    <row r="49" spans="1:5" ht="15.75" x14ac:dyDescent="0.25">
      <c r="A49" s="187" t="s">
        <v>258</v>
      </c>
      <c r="B49" s="187" t="s">
        <v>207</v>
      </c>
      <c r="C49" s="187">
        <v>3128</v>
      </c>
      <c r="D49" s="189">
        <f t="shared" si="0"/>
        <v>4.9939491472927623E-3</v>
      </c>
      <c r="E49" s="208">
        <f>town_population[[#This Row],[Pop Share of State]]/(INDEX(regional_population[Pop Share of State],MATCH(town_population[[#This Row],[Regional Planning Commission]],regional_population[Regional Planning Commission],0)))</f>
        <v>0.12534059945504086</v>
      </c>
    </row>
    <row r="50" spans="1:5" ht="15.75" x14ac:dyDescent="0.25">
      <c r="A50" s="187" t="s">
        <v>259</v>
      </c>
      <c r="B50" s="187" t="s">
        <v>227</v>
      </c>
      <c r="C50" s="187">
        <v>1198</v>
      </c>
      <c r="D50" s="189">
        <f t="shared" si="0"/>
        <v>1.9126442066677524E-3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260</v>
      </c>
      <c r="B51" s="187" t="s">
        <v>227</v>
      </c>
      <c r="C51" s="187">
        <v>2535</v>
      </c>
      <c r="D51" s="189">
        <f t="shared" si="0"/>
        <v>4.0472062303027979E-3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261</v>
      </c>
      <c r="B52" s="187" t="s">
        <v>233</v>
      </c>
      <c r="C52" s="187">
        <v>17249</v>
      </c>
      <c r="D52" s="189">
        <f t="shared" si="0"/>
        <v>2.7538564207689534E-2</v>
      </c>
      <c r="E52" s="208">
        <f>town_population[[#This Row],[Pop Share of State]]/(INDEX(regional_population[Pop Share of State],MATCH(town_population[[#This Row],[Regional Planning Commission]],regional_population[Regional Planning Commission],0)))</f>
        <v>0.10869894004512053</v>
      </c>
    </row>
    <row r="53" spans="1:5" ht="15.75" x14ac:dyDescent="0.25">
      <c r="A53" s="187" t="s">
        <v>262</v>
      </c>
      <c r="B53" s="187" t="s">
        <v>203</v>
      </c>
      <c r="C53" s="187">
        <v>1203</v>
      </c>
      <c r="D53" s="189">
        <f t="shared" si="0"/>
        <v>1.9206268619543455E-3</v>
      </c>
      <c r="E53" s="208">
        <f>town_population[[#This Row],[Pop Share of State]]/(INDEX(regional_population[Pop Share of State],MATCH(town_population[[#This Row],[Regional Planning Commission]],regional_population[Regional Planning Commission],0)))</f>
        <v>1.8651162790697676E-2</v>
      </c>
    </row>
    <row r="54" spans="1:5" ht="15.75" x14ac:dyDescent="0.25">
      <c r="A54" s="187" t="s">
        <v>263</v>
      </c>
      <c r="B54" s="187" t="s">
        <v>217</v>
      </c>
      <c r="C54" s="187">
        <v>1302</v>
      </c>
      <c r="D54" s="189">
        <f t="shared" si="0"/>
        <v>2.0786834366288928E-3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264</v>
      </c>
      <c r="B55" s="187" t="s">
        <v>201</v>
      </c>
      <c r="C55" s="187">
        <v>1089</v>
      </c>
      <c r="D55" s="189">
        <f t="shared" si="0"/>
        <v>1.7386223214200186E-3</v>
      </c>
      <c r="E55" s="208">
        <f>town_population[[#This Row],[Pop Share of State]]/(INDEX(regional_population[Pop Share of State],MATCH(town_population[[#This Row],[Regional Planning Commission]],regional_population[Regional Planning Commission],0)))</f>
        <v>3.0099502487562192E-2</v>
      </c>
    </row>
    <row r="56" spans="1:5" ht="15.75" x14ac:dyDescent="0.25">
      <c r="A56" s="187" t="s">
        <v>265</v>
      </c>
      <c r="B56" s="187" t="s">
        <v>203</v>
      </c>
      <c r="C56" s="187">
        <v>1123</v>
      </c>
      <c r="D56" s="189">
        <f t="shared" si="0"/>
        <v>1.7929043773688529E-3</v>
      </c>
      <c r="E56" s="208">
        <f>town_population[[#This Row],[Pop Share of State]]/(INDEX(regional_population[Pop Share of State],MATCH(town_population[[#This Row],[Regional Planning Commission]],regional_population[Regional Planning Commission],0)))</f>
        <v>1.7410852713178295E-2</v>
      </c>
    </row>
    <row r="57" spans="1:5" ht="15.75" x14ac:dyDescent="0.25">
      <c r="A57" s="187" t="s">
        <v>266</v>
      </c>
      <c r="B57" s="187" t="s">
        <v>203</v>
      </c>
      <c r="C57" s="187">
        <v>1238</v>
      </c>
      <c r="D57" s="189">
        <f t="shared" si="0"/>
        <v>1.9765054489604985E-3</v>
      </c>
      <c r="E57" s="208">
        <f>town_population[[#This Row],[Pop Share of State]]/(INDEX(regional_population[Pop Share of State],MATCH(town_population[[#This Row],[Regional Planning Commission]],regional_population[Regional Planning Commission],0)))</f>
        <v>1.9193798449612404E-2</v>
      </c>
    </row>
    <row r="58" spans="1:5" ht="15.75" x14ac:dyDescent="0.25">
      <c r="A58" s="187" t="s">
        <v>267</v>
      </c>
      <c r="B58" s="187" t="s">
        <v>227</v>
      </c>
      <c r="C58" s="187">
        <v>1366</v>
      </c>
      <c r="D58" s="189">
        <f t="shared" si="0"/>
        <v>2.1808614242972871E-3</v>
      </c>
      <c r="E58" s="208">
        <f>town_population[[#This Row],[Pop Share of State]]/(INDEX(regional_population[Pop Share of State],MATCH(town_population[[#This Row],[Regional Planning Commission]],regional_population[Regional Planning Commission],0)))</f>
        <v>2.2673328132521126E-2</v>
      </c>
    </row>
    <row r="59" spans="1:5" ht="15.75" x14ac:dyDescent="0.25">
      <c r="A59" s="187" t="s">
        <v>268</v>
      </c>
      <c r="B59" s="187" t="s">
        <v>203</v>
      </c>
      <c r="C59" s="187">
        <v>2247</v>
      </c>
      <c r="D59" s="189">
        <f t="shared" si="0"/>
        <v>3.5874052857950245E-3</v>
      </c>
      <c r="E59" s="208">
        <f>town_population[[#This Row],[Pop Share of State]]/(INDEX(regional_population[Pop Share of State],MATCH(town_population[[#This Row],[Regional Planning Commission]],regional_population[Regional Planning Commission],0)))</f>
        <v>3.4837209302325582E-2</v>
      </c>
    </row>
    <row r="60" spans="1:5" ht="15.75" x14ac:dyDescent="0.25">
      <c r="A60" s="187" t="s">
        <v>269</v>
      </c>
      <c r="B60" s="187" t="s">
        <v>203</v>
      </c>
      <c r="C60" s="187">
        <v>4561</v>
      </c>
      <c r="D60" s="189">
        <f t="shared" si="0"/>
        <v>7.2817781524303991E-3</v>
      </c>
      <c r="E60" s="208">
        <f>town_population[[#This Row],[Pop Share of State]]/(INDEX(regional_population[Pop Share of State],MATCH(town_population[[#This Row],[Regional Planning Commission]],regional_population[Regional Planning Commission],0)))</f>
        <v>7.0713178294573645E-2</v>
      </c>
    </row>
    <row r="61" spans="1:5" ht="15.75" x14ac:dyDescent="0.25">
      <c r="A61" s="187" t="s">
        <v>270</v>
      </c>
      <c r="B61" s="187" t="s">
        <v>209</v>
      </c>
      <c r="C61" s="187">
        <v>2118</v>
      </c>
      <c r="D61" s="189">
        <f t="shared" si="0"/>
        <v>3.3814527794009176E-3</v>
      </c>
      <c r="E61" s="208">
        <f>town_population[[#This Row],[Pop Share of State]]/(INDEX(regional_population[Pop Share of State],MATCH(town_population[[#This Row],[Regional Planning Commission]],regional_population[Regional Planning Commission],0)))</f>
        <v>6.0151657152594351E-2</v>
      </c>
    </row>
    <row r="62" spans="1:5" ht="15.75" x14ac:dyDescent="0.25">
      <c r="A62" s="187" t="s">
        <v>271</v>
      </c>
      <c r="B62" s="187" t="s">
        <v>211</v>
      </c>
      <c r="C62" s="187">
        <v>1335</v>
      </c>
      <c r="D62" s="189">
        <f t="shared" si="0"/>
        <v>2.1313689615204087E-3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272</v>
      </c>
      <c r="B63" s="187" t="s">
        <v>211</v>
      </c>
      <c r="C63" s="187">
        <v>1933</v>
      </c>
      <c r="D63" s="189">
        <f t="shared" si="0"/>
        <v>3.086094533796966E-3</v>
      </c>
      <c r="E63" s="208">
        <f>town_population[[#This Row],[Pop Share of State]]/(INDEX(regional_population[Pop Share of State],MATCH(town_population[[#This Row],[Regional Planning Commission]],regional_population[Regional Planning Commission],0)))</f>
        <v>4.1861573111573111E-2</v>
      </c>
    </row>
    <row r="64" spans="1:5" ht="15.75" x14ac:dyDescent="0.25">
      <c r="A64" s="187" t="s">
        <v>273</v>
      </c>
      <c r="B64" s="187" t="s">
        <v>220</v>
      </c>
      <c r="C64" s="187">
        <v>1409</v>
      </c>
      <c r="D64" s="189">
        <f t="shared" si="0"/>
        <v>2.2495122597619892E-3</v>
      </c>
      <c r="E64" s="208">
        <f>town_population[[#This Row],[Pop Share of State]]/(INDEX(regional_population[Pop Share of State],MATCH(town_population[[#This Row],[Regional Planning Commission]],regional_population[Regional Planning Commission],0)))</f>
        <v>2.1728737759272112E-2</v>
      </c>
    </row>
    <row r="65" spans="1:5" ht="15.75" x14ac:dyDescent="0.25">
      <c r="A65" s="187" t="s">
        <v>274</v>
      </c>
      <c r="B65" s="187" t="s">
        <v>203</v>
      </c>
      <c r="C65" s="187">
        <v>338</v>
      </c>
      <c r="D65" s="189">
        <f t="shared" si="0"/>
        <v>5.3962749737370645E-4</v>
      </c>
      <c r="E65" s="208">
        <f>town_population[[#This Row],[Pop Share of State]]/(INDEX(regional_population[Pop Share of State],MATCH(town_population[[#This Row],[Regional Planning Commission]],regional_population[Regional Planning Commission],0)))</f>
        <v>5.2403100775193804E-3</v>
      </c>
    </row>
    <row r="66" spans="1:5" ht="15.75" x14ac:dyDescent="0.25">
      <c r="A66" s="187" t="s">
        <v>275</v>
      </c>
      <c r="B66" s="187" t="s">
        <v>220</v>
      </c>
      <c r="C66" s="187">
        <v>2601</v>
      </c>
      <c r="D66" s="189">
        <f t="shared" ref="D66:D129" si="1">C66/SUM($C$2:$C$256)</f>
        <v>4.1525772800858297E-3</v>
      </c>
      <c r="E66" s="208">
        <f>town_population[[#This Row],[Pop Share of State]]/(INDEX(regional_population[Pop Share of State],MATCH(town_population[[#This Row],[Regional Planning Commission]],regional_population[Regional Planning Commission],0)))</f>
        <v>4.0111034004163777E-2</v>
      </c>
    </row>
    <row r="67" spans="1:5" ht="15.75" x14ac:dyDescent="0.25">
      <c r="A67" s="187" t="s">
        <v>276</v>
      </c>
      <c r="B67" s="187" t="s">
        <v>224</v>
      </c>
      <c r="C67" s="187">
        <v>1353</v>
      </c>
      <c r="D67" s="189">
        <f t="shared" si="1"/>
        <v>2.1601065205521441E-3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277</v>
      </c>
      <c r="B68" s="187" t="s">
        <v>224</v>
      </c>
      <c r="C68" s="187">
        <v>946</v>
      </c>
      <c r="D68" s="189">
        <f t="shared" si="1"/>
        <v>1.5103183802234505E-3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278</v>
      </c>
      <c r="B69" s="187" t="s">
        <v>205</v>
      </c>
      <c r="C69" s="187">
        <v>2771</v>
      </c>
      <c r="D69" s="189">
        <f t="shared" si="1"/>
        <v>4.4239875598300017E-3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279</v>
      </c>
      <c r="B70" s="187" t="s">
        <v>233</v>
      </c>
      <c r="C70" s="187">
        <v>20172</v>
      </c>
      <c r="D70" s="189">
        <f t="shared" si="1"/>
        <v>3.2205224488231966E-2</v>
      </c>
      <c r="E70" s="208">
        <f>town_population[[#This Row],[Pop Share of State]]/(INDEX(regional_population[Pop Share of State],MATCH(town_population[[#This Row],[Regional Planning Commission]],regional_population[Regional Planning Commission],0)))</f>
        <v>0.12711896449592272</v>
      </c>
    </row>
    <row r="71" spans="1:5" ht="15.75" x14ac:dyDescent="0.25">
      <c r="A71" s="187" t="s">
        <v>280</v>
      </c>
      <c r="B71" s="187" t="s">
        <v>227</v>
      </c>
      <c r="C71" s="187">
        <v>2694</v>
      </c>
      <c r="D71" s="189">
        <f t="shared" si="1"/>
        <v>4.3010546684164649E-3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281</v>
      </c>
      <c r="B72" s="187" t="s">
        <v>205</v>
      </c>
      <c r="C72" s="187">
        <v>4397</v>
      </c>
      <c r="D72" s="189">
        <f t="shared" si="1"/>
        <v>7.0199470590301396E-3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282</v>
      </c>
      <c r="B73" s="187" t="s">
        <v>205</v>
      </c>
      <c r="C73" s="187">
        <v>1856</v>
      </c>
      <c r="D73" s="189">
        <f t="shared" si="1"/>
        <v>2.9631616423834292E-3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283</v>
      </c>
      <c r="B74" s="187" t="s">
        <v>217</v>
      </c>
      <c r="C74" s="187">
        <v>1029</v>
      </c>
      <c r="D74" s="189">
        <f t="shared" si="1"/>
        <v>1.6428304579808992E-3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284</v>
      </c>
      <c r="B75" s="187" t="s">
        <v>220</v>
      </c>
      <c r="C75" s="187">
        <v>1314</v>
      </c>
      <c r="D75" s="189">
        <f t="shared" si="1"/>
        <v>2.0978418093167165E-3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285</v>
      </c>
      <c r="B76" s="187" t="s">
        <v>203</v>
      </c>
      <c r="C76" s="187">
        <v>28</v>
      </c>
      <c r="D76" s="189">
        <f t="shared" si="1"/>
        <v>4.4702869604922427E-5</v>
      </c>
      <c r="E76" s="208">
        <f>town_population[[#This Row],[Pop Share of State]]/(INDEX(regional_population[Pop Share of State],MATCH(town_population[[#This Row],[Regional Planning Commission]],regional_population[Regional Planning Commission],0)))</f>
        <v>4.3410852713178299E-4</v>
      </c>
    </row>
    <row r="77" spans="1:5" ht="15.75" x14ac:dyDescent="0.25">
      <c r="A77" s="187" t="s">
        <v>286</v>
      </c>
      <c r="B77" s="187" t="s">
        <v>201</v>
      </c>
      <c r="C77" s="187">
        <v>2779</v>
      </c>
      <c r="D77" s="189">
        <f t="shared" si="1"/>
        <v>4.4367598082885509E-3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287</v>
      </c>
      <c r="B78" s="187" t="s">
        <v>205</v>
      </c>
      <c r="C78" s="187">
        <v>1244</v>
      </c>
      <c r="D78" s="189">
        <f t="shared" si="1"/>
        <v>1.9860846353044106E-3</v>
      </c>
      <c r="E78" s="208">
        <f>town_population[[#This Row],[Pop Share of State]]/(INDEX(regional_population[Pop Share of State],MATCH(town_population[[#This Row],[Regional Planning Commission]],regional_population[Regional Planning Commission],0)))</f>
        <v>2.2534190743592065E-2</v>
      </c>
    </row>
    <row r="79" spans="1:5" ht="15.75" x14ac:dyDescent="0.25">
      <c r="A79" s="187" t="s">
        <v>288</v>
      </c>
      <c r="B79" s="187" t="s">
        <v>205</v>
      </c>
      <c r="C79" s="187">
        <v>1240</v>
      </c>
      <c r="D79" s="189">
        <f t="shared" si="1"/>
        <v>1.979698511075136E-3</v>
      </c>
      <c r="E79" s="208">
        <f>town_population[[#This Row],[Pop Share of State]]/(INDEX(regional_population[Pop Share of State],MATCH(town_population[[#This Row],[Regional Planning Commission]],regional_population[Regional Planning Commission],0)))</f>
        <v>2.2461733538628747E-2</v>
      </c>
    </row>
    <row r="80" spans="1:5" ht="15.75" x14ac:dyDescent="0.25">
      <c r="A80" s="187" t="s">
        <v>289</v>
      </c>
      <c r="B80" s="187" t="s">
        <v>205</v>
      </c>
      <c r="C80" s="187">
        <v>4610</v>
      </c>
      <c r="D80" s="189">
        <f t="shared" si="1"/>
        <v>7.3600081742390133E-3</v>
      </c>
      <c r="E80" s="208">
        <f>town_population[[#This Row],[Pop Share of State]]/(INDEX(regional_population[Pop Share of State],MATCH(town_population[[#This Row],[Regional Planning Commission]],regional_population[Regional Planning Commission],0)))</f>
        <v>8.350692872022461E-2</v>
      </c>
    </row>
    <row r="81" spans="1:5" ht="15.75" x14ac:dyDescent="0.25">
      <c r="A81" s="187" t="s">
        <v>290</v>
      </c>
      <c r="B81" s="187" t="s">
        <v>209</v>
      </c>
      <c r="C81" s="187">
        <v>9</v>
      </c>
      <c r="D81" s="189">
        <f t="shared" si="1"/>
        <v>1.4368779515867922E-5</v>
      </c>
      <c r="E81" s="208">
        <f>town_population[[#This Row],[Pop Share of State]]/(INDEX(regional_population[Pop Share of State],MATCH(town_population[[#This Row],[Regional Planning Commission]],regional_population[Regional Planning Commission],0)))</f>
        <v>2.5560194257476351E-4</v>
      </c>
    </row>
    <row r="82" spans="1:5" ht="15.75" x14ac:dyDescent="0.25">
      <c r="A82" s="187" t="s">
        <v>291</v>
      </c>
      <c r="B82" s="187" t="s">
        <v>203</v>
      </c>
      <c r="C82" s="187">
        <v>1072</v>
      </c>
      <c r="D82" s="189">
        <f t="shared" si="1"/>
        <v>1.7114812934456013E-3</v>
      </c>
      <c r="E82" s="208">
        <f>town_population[[#This Row],[Pop Share of State]]/(INDEX(regional_population[Pop Share of State],MATCH(town_population[[#This Row],[Regional Planning Commission]],regional_population[Regional Planning Commission],0)))</f>
        <v>1.6620155038759691E-2</v>
      </c>
    </row>
    <row r="83" spans="1:5" ht="15.75" x14ac:dyDescent="0.25">
      <c r="A83" s="187" t="s">
        <v>292</v>
      </c>
      <c r="B83" s="187" t="s">
        <v>201</v>
      </c>
      <c r="C83" s="187">
        <v>135</v>
      </c>
      <c r="D83" s="189">
        <f t="shared" si="1"/>
        <v>2.1553169273801884E-4</v>
      </c>
      <c r="E83" s="208">
        <f>town_population[[#This Row],[Pop Share of State]]/(INDEX(regional_population[Pop Share of State],MATCH(town_population[[#This Row],[Regional Planning Commission]],regional_population[Regional Planning Commission],0)))</f>
        <v>3.7313432835820899E-3</v>
      </c>
    </row>
    <row r="84" spans="1:5" ht="15.75" x14ac:dyDescent="0.25">
      <c r="A84" s="187" t="s">
        <v>293</v>
      </c>
      <c r="B84" s="187" t="s">
        <v>211</v>
      </c>
      <c r="C84" s="187">
        <v>609</v>
      </c>
      <c r="D84" s="189">
        <f t="shared" si="1"/>
        <v>9.7228741390706277E-4</v>
      </c>
      <c r="E84" s="208">
        <f>town_population[[#This Row],[Pop Share of State]]/(INDEX(regional_population[Pop Share of State],MATCH(town_population[[#This Row],[Regional Planning Commission]],regional_population[Regional Planning Commission],0)))</f>
        <v>1.3188669438669439E-2</v>
      </c>
    </row>
    <row r="85" spans="1:5" ht="15.75" x14ac:dyDescent="0.25">
      <c r="A85" s="187" t="s">
        <v>294</v>
      </c>
      <c r="B85" s="187" t="s">
        <v>203</v>
      </c>
      <c r="C85" s="187">
        <v>85</v>
      </c>
      <c r="D85" s="189">
        <f t="shared" si="1"/>
        <v>1.3570513987208593E-4</v>
      </c>
      <c r="E85" s="208">
        <f>town_population[[#This Row],[Pop Share of State]]/(INDEX(regional_population[Pop Share of State],MATCH(town_population[[#This Row],[Regional Planning Commission]],regional_population[Regional Planning Commission],0)))</f>
        <v>1.3178294573643412E-3</v>
      </c>
    </row>
    <row r="86" spans="1:5" ht="15.75" x14ac:dyDescent="0.25">
      <c r="A86" s="187" t="s">
        <v>295</v>
      </c>
      <c r="B86" s="187" t="s">
        <v>205</v>
      </c>
      <c r="C86" s="187">
        <v>2264</v>
      </c>
      <c r="D86" s="189">
        <f t="shared" si="1"/>
        <v>3.6145463137694416E-3</v>
      </c>
      <c r="E86" s="208">
        <f>town_population[[#This Row],[Pop Share of State]]/(INDEX(regional_population[Pop Share of State],MATCH(town_population[[#This Row],[Regional Planning Commission]],regional_population[Regional Planning Commission],0)))</f>
        <v>4.1010778009238288E-2</v>
      </c>
    </row>
    <row r="87" spans="1:5" ht="15.75" x14ac:dyDescent="0.25">
      <c r="A87" s="187" t="s">
        <v>296</v>
      </c>
      <c r="B87" s="187" t="s">
        <v>217</v>
      </c>
      <c r="C87" s="187">
        <v>308</v>
      </c>
      <c r="D87" s="189">
        <f t="shared" si="1"/>
        <v>4.917315656541467E-4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297</v>
      </c>
      <c r="B88" s="187" t="s">
        <v>203</v>
      </c>
      <c r="C88" s="187">
        <v>723</v>
      </c>
      <c r="D88" s="189">
        <f t="shared" si="1"/>
        <v>1.1542919544413899E-3</v>
      </c>
      <c r="E88" s="208">
        <f>town_population[[#This Row],[Pop Share of State]]/(INDEX(regional_population[Pop Share of State],MATCH(town_population[[#This Row],[Regional Planning Commission]],regional_population[Regional Planning Commission],0)))</f>
        <v>1.1209302325581398E-2</v>
      </c>
    </row>
    <row r="89" spans="1:5" ht="15.75" x14ac:dyDescent="0.25">
      <c r="A89" s="187" t="s">
        <v>298</v>
      </c>
      <c r="B89" s="187" t="s">
        <v>203</v>
      </c>
      <c r="C89" s="187">
        <v>1013</v>
      </c>
      <c r="D89" s="189">
        <f t="shared" si="1"/>
        <v>1.6172859610638006E-3</v>
      </c>
      <c r="E89" s="208">
        <f>town_population[[#This Row],[Pop Share of State]]/(INDEX(regional_population[Pop Share of State],MATCH(town_population[[#This Row],[Regional Planning Commission]],regional_population[Regional Planning Commission],0)))</f>
        <v>1.5705426356589149E-2</v>
      </c>
    </row>
    <row r="90" spans="1:5" ht="15.75" x14ac:dyDescent="0.25">
      <c r="A90" s="187" t="s">
        <v>299</v>
      </c>
      <c r="B90" s="187" t="s">
        <v>203</v>
      </c>
      <c r="C90" s="187">
        <v>209</v>
      </c>
      <c r="D90" s="189">
        <f t="shared" si="1"/>
        <v>3.3367499097959955E-4</v>
      </c>
      <c r="E90" s="208">
        <f>town_population[[#This Row],[Pop Share of State]]/(INDEX(regional_population[Pop Share of State],MATCH(town_population[[#This Row],[Regional Planning Commission]],regional_population[Regional Planning Commission],0)))</f>
        <v>3.2403100775193804E-3</v>
      </c>
    </row>
    <row r="91" spans="1:5" ht="15.75" x14ac:dyDescent="0.25">
      <c r="A91" s="187" t="s">
        <v>300</v>
      </c>
      <c r="B91" s="187" t="s">
        <v>211</v>
      </c>
      <c r="C91" s="187">
        <v>2151</v>
      </c>
      <c r="D91" s="189">
        <f t="shared" si="1"/>
        <v>3.4341383042924335E-3</v>
      </c>
      <c r="E91" s="208">
        <f>town_population[[#This Row],[Pop Share of State]]/(INDEX(regional_population[Pop Share of State],MATCH(town_population[[#This Row],[Regional Planning Commission]],regional_population[Regional Planning Commission],0)))</f>
        <v>4.6582640332640333E-2</v>
      </c>
    </row>
    <row r="92" spans="1:5" ht="15.75" x14ac:dyDescent="0.25">
      <c r="A92" s="187" t="s">
        <v>301</v>
      </c>
      <c r="B92" s="187" t="s">
        <v>211</v>
      </c>
      <c r="C92" s="187">
        <v>692</v>
      </c>
      <c r="D92" s="189">
        <f t="shared" si="1"/>
        <v>1.1047994916645112E-3</v>
      </c>
      <c r="E92" s="208">
        <f>town_population[[#This Row],[Pop Share of State]]/(INDEX(regional_population[Pop Share of State],MATCH(town_population[[#This Row],[Regional Planning Commission]],regional_population[Regional Planning Commission],0)))</f>
        <v>1.4986139986139985E-2</v>
      </c>
    </row>
    <row r="93" spans="1:5" ht="15.75" x14ac:dyDescent="0.25">
      <c r="A93" s="187" t="s">
        <v>302</v>
      </c>
      <c r="B93" s="187" t="s">
        <v>217</v>
      </c>
      <c r="C93" s="187">
        <v>395</v>
      </c>
      <c r="D93" s="189">
        <f t="shared" si="1"/>
        <v>6.3062976764086988E-4</v>
      </c>
      <c r="E93" s="208">
        <f>town_population[[#This Row],[Pop Share of State]]/(INDEX(regional_population[Pop Share of State],MATCH(town_population[[#This Row],[Regional Planning Commission]],regional_population[Regional Planning Commission],0)))</f>
        <v>7.1159631771424443E-3</v>
      </c>
    </row>
    <row r="94" spans="1:5" ht="15.75" x14ac:dyDescent="0.25">
      <c r="A94" s="187" t="s">
        <v>303</v>
      </c>
      <c r="B94" s="187" t="s">
        <v>203</v>
      </c>
      <c r="C94" s="187">
        <v>2976</v>
      </c>
      <c r="D94" s="189">
        <f t="shared" si="1"/>
        <v>4.7512764265803262E-3</v>
      </c>
      <c r="E94" s="208">
        <f>town_population[[#This Row],[Pop Share of State]]/(INDEX(regional_population[Pop Share of State],MATCH(town_population[[#This Row],[Regional Planning Commission]],regional_population[Regional Planning Commission],0)))</f>
        <v>4.6139534883720933E-2</v>
      </c>
    </row>
    <row r="95" spans="1:5" ht="15.75" x14ac:dyDescent="0.25">
      <c r="A95" s="187" t="s">
        <v>304</v>
      </c>
      <c r="B95" s="187" t="s">
        <v>217</v>
      </c>
      <c r="C95" s="187">
        <v>9869</v>
      </c>
      <c r="D95" s="189">
        <f t="shared" si="1"/>
        <v>1.5756165004677837E-2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305</v>
      </c>
      <c r="B96" s="187" t="s">
        <v>217</v>
      </c>
      <c r="C96" s="187">
        <v>3397</v>
      </c>
      <c r="D96" s="189">
        <f t="shared" si="1"/>
        <v>5.4234160017114811E-3</v>
      </c>
      <c r="E96" s="208">
        <f>town_population[[#This Row],[Pop Share of State]]/(INDEX(regional_population[Pop Share of State],MATCH(town_population[[#This Row],[Regional Planning Commission]],regional_population[Regional Planning Commission],0)))</f>
        <v>6.1197283323425021E-2</v>
      </c>
    </row>
    <row r="97" spans="1:5" ht="15.75" x14ac:dyDescent="0.25">
      <c r="A97" s="187" t="s">
        <v>306</v>
      </c>
      <c r="B97" s="187" t="s">
        <v>205</v>
      </c>
      <c r="C97" s="187">
        <v>3576</v>
      </c>
      <c r="D97" s="189">
        <f t="shared" si="1"/>
        <v>5.7091950609715215E-3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307</v>
      </c>
      <c r="B98" s="187" t="s">
        <v>233</v>
      </c>
      <c r="C98" s="187">
        <v>4451</v>
      </c>
      <c r="D98" s="189">
        <f t="shared" si="1"/>
        <v>7.1061597361253472E-3</v>
      </c>
      <c r="E98" s="208">
        <f>town_population[[#This Row],[Pop Share of State]]/(INDEX(regional_population[Pop Share of State],MATCH(town_population[[#This Row],[Regional Planning Commission]],regional_population[Regional Planning Commission],0)))</f>
        <v>2.8049103260527071E-2</v>
      </c>
    </row>
    <row r="99" spans="1:5" ht="15.75" x14ac:dyDescent="0.25">
      <c r="A99" s="187" t="s">
        <v>308</v>
      </c>
      <c r="B99" s="187" t="s">
        <v>203</v>
      </c>
      <c r="C99" s="187">
        <v>689</v>
      </c>
      <c r="D99" s="189">
        <f t="shared" si="1"/>
        <v>1.1000098984925554E-3</v>
      </c>
      <c r="E99" s="208">
        <f>town_population[[#This Row],[Pop Share of State]]/(INDEX(regional_population[Pop Share of State],MATCH(town_population[[#This Row],[Regional Planning Commission]],regional_population[Regional Planning Commission],0)))</f>
        <v>1.068217054263566E-2</v>
      </c>
    </row>
    <row r="100" spans="1:5" ht="15.75" x14ac:dyDescent="0.25">
      <c r="A100" s="187" t="s">
        <v>309</v>
      </c>
      <c r="B100" s="187" t="s">
        <v>227</v>
      </c>
      <c r="C100" s="187">
        <v>624</v>
      </c>
      <c r="D100" s="189">
        <f t="shared" si="1"/>
        <v>9.9623537976684258E-4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310</v>
      </c>
      <c r="B101" s="187" t="s">
        <v>233</v>
      </c>
      <c r="C101" s="187">
        <v>1924</v>
      </c>
      <c r="D101" s="189">
        <f t="shared" si="1"/>
        <v>3.0717257542810981E-3</v>
      </c>
      <c r="E101" s="208">
        <f>town_population[[#This Row],[Pop Share of State]]/(INDEX(regional_population[Pop Share of State],MATCH(town_population[[#This Row],[Regional Planning Commission]],regional_population[Regional Planning Commission],0)))</f>
        <v>1.2124573056224238E-2</v>
      </c>
    </row>
    <row r="102" spans="1:5" ht="15.75" x14ac:dyDescent="0.25">
      <c r="A102" s="187" t="s">
        <v>311</v>
      </c>
      <c r="B102" s="187" t="s">
        <v>224</v>
      </c>
      <c r="C102" s="187">
        <v>3011</v>
      </c>
      <c r="D102" s="189">
        <f t="shared" si="1"/>
        <v>4.8071550135864796E-3</v>
      </c>
      <c r="E102" s="208">
        <f>town_population[[#This Row],[Pop Share of State]]/(INDEX(regional_population[Pop Share of State],MATCH(town_population[[#This Row],[Regional Planning Commission]],regional_population[Regional Planning Commission],0)))</f>
        <v>0.12120114317916515</v>
      </c>
    </row>
    <row r="103" spans="1:5" ht="15.75" x14ac:dyDescent="0.25">
      <c r="A103" s="187" t="s">
        <v>312</v>
      </c>
      <c r="B103" s="187" t="s">
        <v>227</v>
      </c>
      <c r="C103" s="187">
        <v>441</v>
      </c>
      <c r="D103" s="189">
        <f t="shared" si="1"/>
        <v>7.0407019627752819E-4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313</v>
      </c>
      <c r="B104" s="187" t="s">
        <v>203</v>
      </c>
      <c r="C104" s="187">
        <v>1195</v>
      </c>
      <c r="D104" s="189">
        <f t="shared" si="1"/>
        <v>1.9078546134957963E-3</v>
      </c>
      <c r="E104" s="208">
        <f>town_population[[#This Row],[Pop Share of State]]/(INDEX(regional_population[Pop Share of State],MATCH(town_population[[#This Row],[Regional Planning Commission]],regional_population[Regional Planning Commission],0)))</f>
        <v>1.8527131782945738E-2</v>
      </c>
    </row>
    <row r="105" spans="1:5" ht="15.75" x14ac:dyDescent="0.25">
      <c r="A105" s="187" t="s">
        <v>314</v>
      </c>
      <c r="B105" s="187" t="s">
        <v>205</v>
      </c>
      <c r="C105" s="187">
        <v>577</v>
      </c>
      <c r="D105" s="189">
        <f t="shared" si="1"/>
        <v>9.2119842007286562E-4</v>
      </c>
      <c r="E105" s="208">
        <f>town_population[[#This Row],[Pop Share of State]]/(INDEX(regional_population[Pop Share of State],MATCH(town_population[[#This Row],[Regional Planning Commission]],regional_population[Regional Planning Commission],0)))</f>
        <v>1.0451951815958699E-2</v>
      </c>
    </row>
    <row r="106" spans="1:5" ht="15.75" x14ac:dyDescent="0.25">
      <c r="A106" s="187" t="s">
        <v>315</v>
      </c>
      <c r="B106" s="187" t="s">
        <v>211</v>
      </c>
      <c r="C106" s="187">
        <v>899</v>
      </c>
      <c r="D106" s="189">
        <f t="shared" si="1"/>
        <v>1.4352814205294735E-3</v>
      </c>
      <c r="E106" s="208">
        <f>town_population[[#This Row],[Pop Share of State]]/(INDEX(regional_population[Pop Share of State],MATCH(town_population[[#This Row],[Regional Planning Commission]],regional_population[Regional Planning Commission],0)))</f>
        <v>1.9468988218988219E-2</v>
      </c>
    </row>
    <row r="107" spans="1:5" ht="15.75" x14ac:dyDescent="0.25">
      <c r="A107" s="187" t="s">
        <v>316</v>
      </c>
      <c r="B107" s="187" t="s">
        <v>203</v>
      </c>
      <c r="C107" s="187">
        <v>818</v>
      </c>
      <c r="D107" s="189">
        <f t="shared" si="1"/>
        <v>1.3059624048866623E-3</v>
      </c>
      <c r="E107" s="208">
        <f>town_population[[#This Row],[Pop Share of State]]/(INDEX(regional_population[Pop Share of State],MATCH(town_population[[#This Row],[Regional Planning Commission]],regional_population[Regional Planning Commission],0)))</f>
        <v>1.268217054263566E-2</v>
      </c>
    </row>
    <row r="108" spans="1:5" ht="15.75" x14ac:dyDescent="0.25">
      <c r="A108" s="187" t="s">
        <v>317</v>
      </c>
      <c r="B108" s="187" t="s">
        <v>233</v>
      </c>
      <c r="C108" s="187">
        <v>5040</v>
      </c>
      <c r="D108" s="189">
        <f t="shared" si="1"/>
        <v>8.0465165288860357E-3</v>
      </c>
      <c r="E108" s="208">
        <f>town_population[[#This Row],[Pop Share of State]]/(INDEX(regional_population[Pop Share of State],MATCH(town_population[[#This Row],[Regional Planning Commission]],regional_population[Regional Planning Commission],0)))</f>
        <v>3.1760835864537505E-2</v>
      </c>
    </row>
    <row r="109" spans="1:5" ht="15.75" x14ac:dyDescent="0.25">
      <c r="A109" s="187" t="s">
        <v>318</v>
      </c>
      <c r="B109" s="187" t="s">
        <v>224</v>
      </c>
      <c r="C109" s="187">
        <v>3491</v>
      </c>
      <c r="D109" s="189">
        <f t="shared" si="1"/>
        <v>5.5734899210994355E-3</v>
      </c>
      <c r="E109" s="208">
        <f>town_population[[#This Row],[Pop Share of State]]/(INDEX(regional_population[Pop Share of State],MATCH(town_population[[#This Row],[Regional Planning Commission]],regional_population[Regional Planning Commission],0)))</f>
        <v>0.14052248118182184</v>
      </c>
    </row>
    <row r="110" spans="1:5" ht="15.75" x14ac:dyDescent="0.25">
      <c r="A110" s="187" t="s">
        <v>319</v>
      </c>
      <c r="B110" s="187" t="s">
        <v>227</v>
      </c>
      <c r="C110" s="187">
        <v>896</v>
      </c>
      <c r="D110" s="189">
        <f t="shared" si="1"/>
        <v>1.4304918273575177E-3</v>
      </c>
      <c r="E110" s="208">
        <f>town_population[[#This Row],[Pop Share of State]]/(INDEX(regional_population[Pop Share of State],MATCH(town_population[[#This Row],[Regional Planning Commission]],regional_population[Regional Planning Commission],0)))</f>
        <v>1.4872109814596579E-2</v>
      </c>
    </row>
    <row r="111" spans="1:5" ht="15.75" x14ac:dyDescent="0.25">
      <c r="A111" s="187" t="s">
        <v>320</v>
      </c>
      <c r="B111" s="187" t="s">
        <v>203</v>
      </c>
      <c r="C111" s="187">
        <v>435</v>
      </c>
      <c r="D111" s="189">
        <f t="shared" si="1"/>
        <v>6.944910099336162E-4</v>
      </c>
      <c r="E111" s="208">
        <f>town_population[[#This Row],[Pop Share of State]]/(INDEX(regional_population[Pop Share of State],MATCH(town_population[[#This Row],[Regional Planning Commission]],regional_population[Regional Planning Commission],0)))</f>
        <v>6.744186046511628E-3</v>
      </c>
    </row>
    <row r="112" spans="1:5" ht="15.75" x14ac:dyDescent="0.25">
      <c r="A112" s="187" t="s">
        <v>321</v>
      </c>
      <c r="B112" s="187" t="s">
        <v>209</v>
      </c>
      <c r="C112" s="187">
        <v>132</v>
      </c>
      <c r="D112" s="189">
        <f t="shared" si="1"/>
        <v>2.1074209956606287E-4</v>
      </c>
      <c r="E112" s="208">
        <f>town_population[[#This Row],[Pop Share of State]]/(INDEX(regional_population[Pop Share of State],MATCH(town_population[[#This Row],[Regional Planning Commission]],regional_population[Regional Planning Commission],0)))</f>
        <v>3.7488284910965324E-3</v>
      </c>
    </row>
    <row r="113" spans="1:5" ht="15.75" x14ac:dyDescent="0.25">
      <c r="A113" s="187" t="s">
        <v>322</v>
      </c>
      <c r="B113" s="187" t="s">
        <v>201</v>
      </c>
      <c r="C113" s="187">
        <v>1226</v>
      </c>
      <c r="D113" s="189">
        <f t="shared" si="1"/>
        <v>1.9573470762726747E-3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323</v>
      </c>
      <c r="B114" s="187" t="s">
        <v>203</v>
      </c>
      <c r="C114" s="187">
        <v>134</v>
      </c>
      <c r="D114" s="189">
        <f t="shared" si="1"/>
        <v>2.1393516168070016E-4</v>
      </c>
      <c r="E114" s="208">
        <f>town_population[[#This Row],[Pop Share of State]]/(INDEX(regional_population[Pop Share of State],MATCH(town_population[[#This Row],[Regional Planning Commission]],regional_population[Regional Planning Commission],0)))</f>
        <v>2.0775193798449614E-3</v>
      </c>
    </row>
    <row r="115" spans="1:5" ht="15.75" x14ac:dyDescent="0.25">
      <c r="A115" s="187" t="s">
        <v>324</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325</v>
      </c>
      <c r="B116" s="187" t="s">
        <v>201</v>
      </c>
      <c r="C116" s="187">
        <v>1221</v>
      </c>
      <c r="D116" s="189">
        <f t="shared" si="1"/>
        <v>1.9493644209860814E-3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326</v>
      </c>
      <c r="B117" s="187" t="s">
        <v>211</v>
      </c>
      <c r="C117" s="187">
        <v>1596</v>
      </c>
      <c r="D117" s="189">
        <f t="shared" si="1"/>
        <v>2.5480635674805783E-3</v>
      </c>
      <c r="E117" s="208">
        <f>town_population[[#This Row],[Pop Share of State]]/(INDEX(regional_population[Pop Share of State],MATCH(town_population[[#This Row],[Regional Planning Commission]],regional_population[Regional Planning Commission],0)))</f>
        <v>3.4563409563409565E-2</v>
      </c>
    </row>
    <row r="118" spans="1:5" ht="15.75" x14ac:dyDescent="0.25">
      <c r="A118" s="187" t="s">
        <v>327</v>
      </c>
      <c r="B118" s="187" t="s">
        <v>203</v>
      </c>
      <c r="C118" s="187">
        <v>810</v>
      </c>
      <c r="D118" s="189">
        <f t="shared" si="1"/>
        <v>1.2931901564281129E-3</v>
      </c>
      <c r="E118" s="208">
        <f>town_population[[#This Row],[Pop Share of State]]/(INDEX(regional_population[Pop Share of State],MATCH(town_population[[#This Row],[Regional Planning Commission]],regional_population[Regional Planning Commission],0)))</f>
        <v>1.2558139534883722E-2</v>
      </c>
    </row>
    <row r="119" spans="1:5" ht="15.75" x14ac:dyDescent="0.25">
      <c r="A119" s="187" t="s">
        <v>328</v>
      </c>
      <c r="B119" s="187" t="s">
        <v>207</v>
      </c>
      <c r="C119" s="187">
        <v>2131</v>
      </c>
      <c r="D119" s="189">
        <f t="shared" si="1"/>
        <v>3.4022076831460601E-3</v>
      </c>
      <c r="E119" s="208">
        <f>town_population[[#This Row],[Pop Share of State]]/(INDEX(regional_population[Pop Share of State],MATCH(town_population[[#This Row],[Regional Planning Commission]],regional_population[Regional Planning Commission],0)))</f>
        <v>8.539028690495272E-2</v>
      </c>
    </row>
    <row r="120" spans="1:5" ht="15.75" x14ac:dyDescent="0.25">
      <c r="A120" s="187" t="s">
        <v>329</v>
      </c>
      <c r="B120" s="187" t="s">
        <v>203</v>
      </c>
      <c r="C120" s="187">
        <v>1331</v>
      </c>
      <c r="D120" s="189">
        <f t="shared" si="1"/>
        <v>2.1249828372911336E-3</v>
      </c>
      <c r="E120" s="208">
        <f>town_population[[#This Row],[Pop Share of State]]/(INDEX(regional_population[Pop Share of State],MATCH(town_population[[#This Row],[Regional Planning Commission]],regional_population[Regional Planning Commission],0)))</f>
        <v>2.0635658914728683E-2</v>
      </c>
    </row>
    <row r="121" spans="1:5" ht="15.75" x14ac:dyDescent="0.25">
      <c r="A121" s="187" t="s">
        <v>330</v>
      </c>
      <c r="B121" s="187" t="s">
        <v>203</v>
      </c>
      <c r="C121" s="187">
        <v>5966</v>
      </c>
      <c r="D121" s="189">
        <f t="shared" si="1"/>
        <v>9.5249042879631141E-3</v>
      </c>
      <c r="E121" s="208">
        <f>town_population[[#This Row],[Pop Share of State]]/(INDEX(regional_population[Pop Share of State],MATCH(town_population[[#This Row],[Regional Planning Commission]],regional_population[Regional Planning Commission],0)))</f>
        <v>9.2496124031007765E-2</v>
      </c>
    </row>
    <row r="122" spans="1:5" ht="15.75" x14ac:dyDescent="0.25">
      <c r="A122" s="187" t="s">
        <v>331</v>
      </c>
      <c r="B122" s="187" t="s">
        <v>203</v>
      </c>
      <c r="C122" s="187">
        <v>217</v>
      </c>
      <c r="D122" s="189">
        <f t="shared" si="1"/>
        <v>3.4644723943814878E-4</v>
      </c>
      <c r="E122" s="208">
        <f>town_population[[#This Row],[Pop Share of State]]/(INDEX(regional_population[Pop Share of State],MATCH(town_population[[#This Row],[Regional Planning Commission]],regional_population[Regional Planning Commission],0)))</f>
        <v>3.3643410852713181E-3</v>
      </c>
    </row>
    <row r="123" spans="1:5" ht="15.75" x14ac:dyDescent="0.25">
      <c r="A123" s="187" t="s">
        <v>332</v>
      </c>
      <c r="B123" s="187" t="s">
        <v>209</v>
      </c>
      <c r="C123" s="187">
        <v>4352</v>
      </c>
      <c r="D123" s="189">
        <f t="shared" si="1"/>
        <v>6.9481031614507995E-3</v>
      </c>
      <c r="E123" s="208">
        <f>town_population[[#This Row],[Pop Share of State]]/(INDEX(regional_population[Pop Share of State],MATCH(town_population[[#This Row],[Regional Planning Commission]],regional_population[Regional Planning Commission],0)))</f>
        <v>0.12359773934281899</v>
      </c>
    </row>
    <row r="124" spans="1:5" ht="15.75" x14ac:dyDescent="0.25">
      <c r="A124" s="187" t="s">
        <v>333</v>
      </c>
      <c r="B124" s="187" t="s">
        <v>211</v>
      </c>
      <c r="C124" s="187">
        <v>1196</v>
      </c>
      <c r="D124" s="189">
        <f t="shared" si="1"/>
        <v>1.9094511445531151E-3</v>
      </c>
      <c r="E124" s="208">
        <f>town_population[[#This Row],[Pop Share of State]]/(INDEX(regional_population[Pop Share of State],MATCH(town_population[[#This Row],[Regional Planning Commission]],regional_population[Regional Planning Commission],0)))</f>
        <v>2.5900900900900903E-2</v>
      </c>
    </row>
    <row r="125" spans="1:5" ht="15.75" x14ac:dyDescent="0.25">
      <c r="A125" s="187" t="s">
        <v>334</v>
      </c>
      <c r="B125" s="187" t="s">
        <v>220</v>
      </c>
      <c r="C125" s="187">
        <v>1724</v>
      </c>
      <c r="D125" s="189">
        <f t="shared" si="1"/>
        <v>2.7524195428173664E-3</v>
      </c>
      <c r="E125" s="208">
        <f>town_population[[#This Row],[Pop Share of State]]/(INDEX(regional_population[Pop Share of State],MATCH(town_population[[#This Row],[Regional Planning Commission]],regional_population[Regional Planning Commission],0)))</f>
        <v>2.6586475441437274E-2</v>
      </c>
    </row>
    <row r="126" spans="1:5" ht="15.75" x14ac:dyDescent="0.25">
      <c r="A126" s="187" t="s">
        <v>335</v>
      </c>
      <c r="B126" s="187" t="s">
        <v>227</v>
      </c>
      <c r="C126" s="187">
        <v>862</v>
      </c>
      <c r="D126" s="189">
        <f t="shared" si="1"/>
        <v>1.3762097714086832E-3</v>
      </c>
      <c r="E126" s="208">
        <f>town_population[[#This Row],[Pop Share of State]]/(INDEX(regional_population[Pop Share of State],MATCH(town_population[[#This Row],[Regional Planning Commission]],regional_population[Regional Planning Commission],0)))</f>
        <v>1.4307766361810548E-2</v>
      </c>
    </row>
    <row r="127" spans="1:5" ht="15.75" x14ac:dyDescent="0.25">
      <c r="A127" s="187" t="s">
        <v>336</v>
      </c>
      <c r="B127" s="187" t="s">
        <v>201</v>
      </c>
      <c r="C127" s="187">
        <v>8505</v>
      </c>
      <c r="D127" s="189">
        <f t="shared" si="1"/>
        <v>1.3578496642495186E-2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337</v>
      </c>
      <c r="B128" s="187" t="s">
        <v>220</v>
      </c>
      <c r="C128" s="187">
        <v>1899</v>
      </c>
      <c r="D128" s="189">
        <f t="shared" si="1"/>
        <v>3.0318124778481318E-3</v>
      </c>
      <c r="E128" s="208">
        <f>town_population[[#This Row],[Pop Share of State]]/(INDEX(regional_population[Pop Share of State],MATCH(town_population[[#This Row],[Regional Planning Commission]],regional_population[Regional Planning Commission],0)))</f>
        <v>2.92852185981957E-2</v>
      </c>
    </row>
    <row r="129" spans="1:5" ht="15.75" x14ac:dyDescent="0.25">
      <c r="A129" s="187" t="s">
        <v>338</v>
      </c>
      <c r="B129" s="187" t="s">
        <v>227</v>
      </c>
      <c r="C129" s="187">
        <v>731</v>
      </c>
      <c r="D129" s="189">
        <f t="shared" si="1"/>
        <v>1.167064202899939E-3</v>
      </c>
      <c r="E129" s="208">
        <f>town_population[[#This Row],[Pop Share of State]]/(INDEX(regional_population[Pop Share of State],MATCH(town_population[[#This Row],[Regional Planning Commission]],regional_population[Regional Planning Commission],0)))</f>
        <v>1.2133384234899664E-2</v>
      </c>
    </row>
    <row r="130" spans="1:5" ht="15.75" x14ac:dyDescent="0.25">
      <c r="A130" s="187" t="s">
        <v>339</v>
      </c>
      <c r="B130" s="187" t="s">
        <v>233</v>
      </c>
      <c r="C130" s="187">
        <v>10533</v>
      </c>
      <c r="D130" s="189">
        <f t="shared" ref="D130:D193" si="2">C130/SUM($C$2:$C$256)</f>
        <v>1.6816261626737425E-2</v>
      </c>
      <c r="E130" s="208">
        <f>town_population[[#This Row],[Pop Share of State]]/(INDEX(regional_population[Pop Share of State],MATCH(town_population[[#This Row],[Regional Planning Commission]],regional_population[Regional Planning Commission],0)))</f>
        <v>6.6376365904994752E-2</v>
      </c>
    </row>
    <row r="131" spans="1:5" ht="15.75" x14ac:dyDescent="0.25">
      <c r="A131" s="187" t="s">
        <v>340</v>
      </c>
      <c r="B131" s="187" t="s">
        <v>201</v>
      </c>
      <c r="C131" s="187">
        <v>2043</v>
      </c>
      <c r="D131" s="189">
        <f t="shared" si="2"/>
        <v>3.2617129501020183E-3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341</v>
      </c>
      <c r="B132" s="187" t="s">
        <v>205</v>
      </c>
      <c r="C132" s="187">
        <v>1084</v>
      </c>
      <c r="D132" s="189">
        <f t="shared" si="2"/>
        <v>1.7306396661334253E-3</v>
      </c>
      <c r="E132" s="208">
        <f>town_population[[#This Row],[Pop Share of State]]/(INDEX(regional_population[Pop Share of State],MATCH(town_population[[#This Row],[Regional Planning Commission]],regional_population[Regional Planning Commission],0)))</f>
        <v>1.9635902545059324E-2</v>
      </c>
    </row>
    <row r="133" spans="1:5" ht="15.75" x14ac:dyDescent="0.25">
      <c r="A133" s="187" t="s">
        <v>342</v>
      </c>
      <c r="B133" s="187" t="s">
        <v>220</v>
      </c>
      <c r="C133" s="187">
        <v>7760</v>
      </c>
      <c r="D133" s="189">
        <f t="shared" si="2"/>
        <v>1.2389081004792786E-2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343</v>
      </c>
      <c r="B134" s="187" t="s">
        <v>220</v>
      </c>
      <c r="C134" s="187">
        <v>1653</v>
      </c>
      <c r="D134" s="189">
        <f t="shared" si="2"/>
        <v>2.6390658377477417E-3</v>
      </c>
      <c r="E134" s="208">
        <f>town_population[[#This Row],[Pop Share of State]]/(INDEX(regional_population[Pop Share of State],MATCH(town_population[[#This Row],[Regional Planning Commission]],regional_population[Regional Planning Commission],0)))</f>
        <v>2.5491556789266713E-2</v>
      </c>
    </row>
    <row r="135" spans="1:5" ht="15.75" x14ac:dyDescent="0.25">
      <c r="A135" s="187" t="s">
        <v>344</v>
      </c>
      <c r="B135" s="187" t="s">
        <v>203</v>
      </c>
      <c r="C135" s="187">
        <v>721</v>
      </c>
      <c r="D135" s="189">
        <f t="shared" si="2"/>
        <v>1.1510988923267523E-3</v>
      </c>
      <c r="E135" s="208">
        <f>town_population[[#This Row],[Pop Share of State]]/(INDEX(regional_population[Pop Share of State],MATCH(town_population[[#This Row],[Regional Planning Commission]],regional_population[Regional Planning Commission],0)))</f>
        <v>1.1178294573643411E-2</v>
      </c>
    </row>
    <row r="136" spans="1:5" ht="15.75" x14ac:dyDescent="0.25">
      <c r="A136" s="187" t="s">
        <v>345</v>
      </c>
      <c r="B136" s="187" t="s">
        <v>224</v>
      </c>
      <c r="C136" s="187">
        <v>5314</v>
      </c>
      <c r="D136" s="189">
        <f t="shared" si="2"/>
        <v>8.4839660385913479E-3</v>
      </c>
      <c r="E136" s="208">
        <f>town_population[[#This Row],[Pop Share of State]]/(INDEX(regional_population[Pop Share of State],MATCH(town_population[[#This Row],[Regional Planning Commission]],regional_population[Regional Planning Commission],0)))</f>
        <v>0.21390331280441166</v>
      </c>
    </row>
    <row r="137" spans="1:5" ht="15.75" x14ac:dyDescent="0.25">
      <c r="A137" s="187" t="s">
        <v>346</v>
      </c>
      <c r="B137" s="187" t="s">
        <v>227</v>
      </c>
      <c r="C137" s="187">
        <v>1258</v>
      </c>
      <c r="D137" s="189">
        <f t="shared" si="2"/>
        <v>2.0084360701068719E-3</v>
      </c>
      <c r="E137" s="208">
        <f>town_population[[#This Row],[Pop Share of State]]/(INDEX(regional_population[Pop Share of State],MATCH(town_population[[#This Row],[Regional Planning Commission]],regional_population[Regional Planning Commission],0)))</f>
        <v>2.0880707753083143E-2</v>
      </c>
    </row>
    <row r="138" spans="1:5" ht="15.75" x14ac:dyDescent="0.25">
      <c r="A138" s="187" t="s">
        <v>347</v>
      </c>
      <c r="B138" s="187" t="s">
        <v>227</v>
      </c>
      <c r="C138" s="187">
        <v>271</v>
      </c>
      <c r="D138" s="189">
        <f t="shared" si="2"/>
        <v>4.3265991653335632E-4</v>
      </c>
      <c r="E138" s="208">
        <f>town_population[[#This Row],[Pop Share of State]]/(INDEX(regional_population[Pop Share of State],MATCH(town_population[[#This Row],[Regional Planning Commission]],regional_population[Regional Planning Commission],0)))</f>
        <v>4.4981492854415991E-3</v>
      </c>
    </row>
    <row r="139" spans="1:5" ht="15.75" x14ac:dyDescent="0.25">
      <c r="A139" s="187" t="s">
        <v>348</v>
      </c>
      <c r="B139" s="187" t="s">
        <v>201</v>
      </c>
      <c r="C139" s="187">
        <v>1648</v>
      </c>
      <c r="D139" s="189">
        <f t="shared" si="2"/>
        <v>2.6310831824611484E-3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349</v>
      </c>
      <c r="B140" s="187" t="s">
        <v>203</v>
      </c>
      <c r="C140" s="187">
        <v>534</v>
      </c>
      <c r="D140" s="189">
        <f t="shared" si="2"/>
        <v>8.5254758460816336E-4</v>
      </c>
      <c r="E140" s="208">
        <f>town_population[[#This Row],[Pop Share of State]]/(INDEX(regional_population[Pop Share of State],MATCH(town_population[[#This Row],[Regional Planning Commission]],regional_population[Regional Planning Commission],0)))</f>
        <v>8.2790697674418618E-3</v>
      </c>
    </row>
    <row r="141" spans="1:5" ht="15.75" x14ac:dyDescent="0.25">
      <c r="A141" s="187" t="s">
        <v>350</v>
      </c>
      <c r="B141" s="187" t="s">
        <v>217</v>
      </c>
      <c r="C141" s="187">
        <v>2155</v>
      </c>
      <c r="D141" s="189">
        <f t="shared" si="2"/>
        <v>3.4405244285217081E-3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351</v>
      </c>
      <c r="B142" s="187" t="s">
        <v>211</v>
      </c>
      <c r="C142" s="187">
        <v>1819</v>
      </c>
      <c r="D142" s="189">
        <f t="shared" si="2"/>
        <v>2.9040899932626391E-3</v>
      </c>
      <c r="E142" s="208">
        <f>town_population[[#This Row],[Pop Share of State]]/(INDEX(regional_population[Pop Share of State],MATCH(town_population[[#This Row],[Regional Planning Commission]],regional_population[Regional Planning Commission],0)))</f>
        <v>3.9392758142758146E-2</v>
      </c>
    </row>
    <row r="143" spans="1:5" ht="15.75" x14ac:dyDescent="0.25">
      <c r="A143" s="187" t="s">
        <v>353</v>
      </c>
      <c r="B143" s="187" t="s">
        <v>203</v>
      </c>
      <c r="C143" s="187">
        <v>1764</v>
      </c>
      <c r="D143" s="189">
        <f t="shared" si="2"/>
        <v>2.8162807851101128E-3</v>
      </c>
      <c r="E143" s="208">
        <f>town_population[[#This Row],[Pop Share of State]]/(INDEX(regional_population[Pop Share of State],MATCH(town_population[[#This Row],[Regional Planning Commission]],regional_population[Regional Planning Commission],0)))</f>
        <v>2.734883720930233E-2</v>
      </c>
    </row>
    <row r="144" spans="1:5" ht="15.75" x14ac:dyDescent="0.25">
      <c r="A144" s="187" t="s">
        <v>352</v>
      </c>
      <c r="B144" s="187" t="s">
        <v>203</v>
      </c>
      <c r="C144" s="187">
        <v>4535</v>
      </c>
      <c r="D144" s="189">
        <f t="shared" si="2"/>
        <v>7.240268344940114E-3</v>
      </c>
      <c r="E144" s="208">
        <f>town_population[[#This Row],[Pop Share of State]]/(INDEX(regional_population[Pop Share of State],MATCH(town_population[[#This Row],[Regional Planning Commission]],regional_population[Regional Planning Commission],0)))</f>
        <v>7.0310077519379857E-2</v>
      </c>
    </row>
    <row r="145" spans="1:5" ht="15.75" x14ac:dyDescent="0.25">
      <c r="A145" s="187" t="s">
        <v>354</v>
      </c>
      <c r="B145" s="187" t="s">
        <v>205</v>
      </c>
      <c r="C145" s="187">
        <v>939</v>
      </c>
      <c r="D145" s="189">
        <f t="shared" si="2"/>
        <v>1.4991426628222198E-3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355</v>
      </c>
      <c r="B146" s="187" t="s">
        <v>220</v>
      </c>
      <c r="C146" s="187">
        <v>6175</v>
      </c>
      <c r="D146" s="189">
        <f t="shared" si="2"/>
        <v>9.8585792789427137E-3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356</v>
      </c>
      <c r="B147" s="187" t="s">
        <v>203</v>
      </c>
      <c r="C147" s="187">
        <v>161</v>
      </c>
      <c r="D147" s="189">
        <f t="shared" si="2"/>
        <v>2.5704150022830394E-4</v>
      </c>
      <c r="E147" s="208">
        <f>town_population[[#This Row],[Pop Share of State]]/(INDEX(regional_population[Pop Share of State],MATCH(town_population[[#This Row],[Regional Planning Commission]],regional_population[Regional Planning Commission],0)))</f>
        <v>2.4961240310077521E-3</v>
      </c>
    </row>
    <row r="148" spans="1:5" ht="15.75" x14ac:dyDescent="0.25">
      <c r="A148" s="187" t="s">
        <v>357</v>
      </c>
      <c r="B148" s="187" t="s">
        <v>217</v>
      </c>
      <c r="C148" s="187">
        <v>3400</v>
      </c>
      <c r="D148" s="189">
        <f t="shared" si="2"/>
        <v>5.428205594883437E-3</v>
      </c>
      <c r="E148" s="208">
        <f>town_population[[#This Row],[Pop Share of State]]/(INDEX(regional_population[Pop Share of State],MATCH(town_population[[#This Row],[Regional Planning Commission]],regional_population[Regional Planning Commission],0)))</f>
        <v>6.1251328613378002E-2</v>
      </c>
    </row>
    <row r="149" spans="1:5" ht="15.75" x14ac:dyDescent="0.25">
      <c r="A149" s="187" t="s">
        <v>358</v>
      </c>
      <c r="B149" s="187" t="s">
        <v>220</v>
      </c>
      <c r="C149" s="187">
        <v>1048</v>
      </c>
      <c r="D149" s="189">
        <f t="shared" si="2"/>
        <v>1.6731645480699536E-3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359</v>
      </c>
      <c r="B150" s="187" t="s">
        <v>201</v>
      </c>
      <c r="C150" s="187">
        <v>1242</v>
      </c>
      <c r="D150" s="189">
        <f t="shared" si="2"/>
        <v>1.9828915731897731E-3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360</v>
      </c>
      <c r="B151" s="187" t="s">
        <v>201</v>
      </c>
      <c r="C151" s="187">
        <v>740</v>
      </c>
      <c r="D151" s="189">
        <f t="shared" si="2"/>
        <v>1.181432982415807E-3</v>
      </c>
      <c r="E151" s="208">
        <f>town_population[[#This Row],[Pop Share of State]]/(INDEX(regional_population[Pop Share of State],MATCH(town_population[[#This Row],[Regional Planning Commission]],regional_population[Regional Planning Commission],0)))</f>
        <v>2.0453289110005532E-2</v>
      </c>
    </row>
    <row r="152" spans="1:5" ht="15.75" x14ac:dyDescent="0.25">
      <c r="A152" s="187" t="s">
        <v>361</v>
      </c>
      <c r="B152" s="187" t="s">
        <v>227</v>
      </c>
      <c r="C152" s="187">
        <v>1440</v>
      </c>
      <c r="D152" s="189">
        <f t="shared" si="2"/>
        <v>2.2990047225388676E-3</v>
      </c>
      <c r="E152" s="208">
        <f>town_population[[#This Row],[Pop Share of State]]/(INDEX(regional_population[Pop Share of State],MATCH(town_population[[#This Row],[Regional Planning Commission]],regional_population[Regional Planning Commission],0)))</f>
        <v>2.3901605059173072E-2</v>
      </c>
    </row>
    <row r="153" spans="1:5" ht="15.75" x14ac:dyDescent="0.25">
      <c r="A153" s="187" t="s">
        <v>362</v>
      </c>
      <c r="B153" s="187" t="s">
        <v>203</v>
      </c>
      <c r="C153" s="187">
        <v>695</v>
      </c>
      <c r="D153" s="189">
        <f t="shared" si="2"/>
        <v>1.1095890848364673E-3</v>
      </c>
      <c r="E153" s="208">
        <f>town_population[[#This Row],[Pop Share of State]]/(INDEX(regional_population[Pop Share of State],MATCH(town_population[[#This Row],[Regional Planning Commission]],regional_population[Regional Planning Commission],0)))</f>
        <v>1.0775193798449613E-2</v>
      </c>
    </row>
    <row r="154" spans="1:5" ht="15.75" x14ac:dyDescent="0.25">
      <c r="A154" s="187" t="s">
        <v>363</v>
      </c>
      <c r="B154" s="187" t="s">
        <v>209</v>
      </c>
      <c r="C154" s="187">
        <v>348</v>
      </c>
      <c r="D154" s="189">
        <f t="shared" si="2"/>
        <v>5.5559280794689303E-4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364</v>
      </c>
      <c r="B155" s="187" t="s">
        <v>217</v>
      </c>
      <c r="C155" s="187">
        <v>617</v>
      </c>
      <c r="D155" s="189">
        <f t="shared" si="2"/>
        <v>9.8505966236561195E-4</v>
      </c>
      <c r="E155" s="208">
        <f>town_population[[#This Row],[Pop Share of State]]/(INDEX(regional_population[Pop Share of State],MATCH(town_population[[#This Row],[Regional Planning Commission]],regional_population[Regional Planning Commission],0)))</f>
        <v>1.1115314633663007E-2</v>
      </c>
    </row>
    <row r="156" spans="1:5" ht="15.75" x14ac:dyDescent="0.25">
      <c r="A156" s="187" t="s">
        <v>365</v>
      </c>
      <c r="B156" s="187" t="s">
        <v>227</v>
      </c>
      <c r="C156" s="187">
        <v>2940</v>
      </c>
      <c r="D156" s="189">
        <f t="shared" si="2"/>
        <v>4.6938013085168545E-3</v>
      </c>
      <c r="E156" s="208">
        <f>town_population[[#This Row],[Pop Share of State]]/(INDEX(regional_population[Pop Share of State],MATCH(town_population[[#This Row],[Regional Planning Commission]],regional_population[Regional Planning Commission],0)))</f>
        <v>4.8799110329145023E-2</v>
      </c>
    </row>
    <row r="157" spans="1:5" ht="15.75" x14ac:dyDescent="0.25">
      <c r="A157" s="187" t="s">
        <v>366</v>
      </c>
      <c r="B157" s="187" t="s">
        <v>220</v>
      </c>
      <c r="C157" s="187">
        <v>1304</v>
      </c>
      <c r="D157" s="189">
        <f t="shared" si="2"/>
        <v>2.0818764987435298E-3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367</v>
      </c>
      <c r="B158" s="187" t="s">
        <v>217</v>
      </c>
      <c r="C158" s="187">
        <v>471</v>
      </c>
      <c r="D158" s="189">
        <f t="shared" si="2"/>
        <v>7.5196612799708793E-4</v>
      </c>
      <c r="E158" s="208">
        <f>town_population[[#This Row],[Pop Share of State]]/(INDEX(regional_population[Pop Share of State],MATCH(town_population[[#This Row],[Regional Planning Commission]],regional_population[Regional Planning Commission],0)))</f>
        <v>8.485110522617953E-3</v>
      </c>
    </row>
    <row r="159" spans="1:5" ht="15.75" x14ac:dyDescent="0.25">
      <c r="A159" s="187" t="s">
        <v>368</v>
      </c>
      <c r="B159" s="187" t="s">
        <v>217</v>
      </c>
      <c r="C159" s="187">
        <v>963</v>
      </c>
      <c r="D159" s="189">
        <f t="shared" si="2"/>
        <v>1.5374594081978676E-3</v>
      </c>
      <c r="E159" s="208">
        <f>town_population[[#This Row],[Pop Share of State]]/(INDEX(regional_population[Pop Share of State],MATCH(town_population[[#This Row],[Regional Planning Commission]],regional_population[Regional Planning Commission],0)))</f>
        <v>1.7348538074906768E-2</v>
      </c>
    </row>
    <row r="160" spans="1:5" ht="15.75" x14ac:dyDescent="0.25">
      <c r="A160" s="187" t="s">
        <v>369</v>
      </c>
      <c r="B160" s="187" t="s">
        <v>227</v>
      </c>
      <c r="C160" s="187">
        <v>3382</v>
      </c>
      <c r="D160" s="189">
        <f t="shared" si="2"/>
        <v>5.3994680358517011E-3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370</v>
      </c>
      <c r="B161" s="187" t="s">
        <v>209</v>
      </c>
      <c r="C161" s="187">
        <v>3495</v>
      </c>
      <c r="D161" s="189">
        <f t="shared" si="2"/>
        <v>5.5798760453287096E-3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371</v>
      </c>
      <c r="B162" s="187" t="s">
        <v>227</v>
      </c>
      <c r="C162" s="187">
        <v>1650</v>
      </c>
      <c r="D162" s="189">
        <f t="shared" si="2"/>
        <v>2.6342762445757859E-3</v>
      </c>
      <c r="E162" s="208">
        <f>town_population[[#This Row],[Pop Share of State]]/(INDEX(regional_population[Pop Share of State],MATCH(town_population[[#This Row],[Regional Planning Commission]],regional_population[Regional Planning Commission],0)))</f>
        <v>2.7387255796969146E-2</v>
      </c>
    </row>
    <row r="163" spans="1:5" ht="15.75" x14ac:dyDescent="0.25">
      <c r="A163" s="187" t="s">
        <v>372</v>
      </c>
      <c r="B163" s="187" t="s">
        <v>211</v>
      </c>
      <c r="C163" s="187">
        <v>2696</v>
      </c>
      <c r="D163" s="189">
        <f t="shared" si="2"/>
        <v>4.3042477305311024E-3</v>
      </c>
      <c r="E163" s="208">
        <f>town_population[[#This Row],[Pop Share of State]]/(INDEX(regional_population[Pop Share of State],MATCH(town_population[[#This Row],[Regional Planning Commission]],regional_population[Regional Planning Commission],0)))</f>
        <v>5.8385308385308393E-2</v>
      </c>
    </row>
    <row r="164" spans="1:5" ht="15.75" x14ac:dyDescent="0.25">
      <c r="A164" s="187" t="s">
        <v>373</v>
      </c>
      <c r="B164" s="187" t="s">
        <v>217</v>
      </c>
      <c r="C164" s="187">
        <v>4768</v>
      </c>
      <c r="D164" s="189">
        <f t="shared" si="2"/>
        <v>7.6122600812953611E-3</v>
      </c>
      <c r="E164" s="208">
        <f>town_population[[#This Row],[Pop Share of State]]/(INDEX(regional_population[Pop Share of State],MATCH(town_population[[#This Row],[Regional Planning Commission]],regional_population[Regional Planning Commission],0)))</f>
        <v>8.5895980831937155E-2</v>
      </c>
    </row>
    <row r="165" spans="1:5" ht="15.75" x14ac:dyDescent="0.25">
      <c r="A165" s="187" t="s">
        <v>374</v>
      </c>
      <c r="B165" s="187" t="s">
        <v>207</v>
      </c>
      <c r="C165" s="187">
        <v>739</v>
      </c>
      <c r="D165" s="189">
        <f t="shared" si="2"/>
        <v>1.1798364513584882E-3</v>
      </c>
      <c r="E165" s="208">
        <f>town_population[[#This Row],[Pop Share of State]]/(INDEX(regional_population[Pop Share of State],MATCH(town_population[[#This Row],[Regional Planning Commission]],regional_population[Regional Planning Commission],0)))</f>
        <v>2.961211732649463E-2</v>
      </c>
    </row>
    <row r="166" spans="1:5" ht="15.75" x14ac:dyDescent="0.25">
      <c r="A166" s="187" t="s">
        <v>375</v>
      </c>
      <c r="B166" s="187" t="s">
        <v>211</v>
      </c>
      <c r="C166" s="187">
        <v>777</v>
      </c>
      <c r="D166" s="189">
        <f t="shared" si="2"/>
        <v>1.2405046315365972E-3</v>
      </c>
      <c r="E166" s="208">
        <f>town_population[[#This Row],[Pop Share of State]]/(INDEX(regional_population[Pop Share of State],MATCH(town_population[[#This Row],[Regional Planning Commission]],regional_population[Regional Planning Commission],0)))</f>
        <v>1.6826923076923076E-2</v>
      </c>
    </row>
    <row r="167" spans="1:5" ht="15.75" x14ac:dyDescent="0.25">
      <c r="A167" s="187" t="s">
        <v>376</v>
      </c>
      <c r="B167" s="187" t="s">
        <v>205</v>
      </c>
      <c r="C167" s="187">
        <v>2329</v>
      </c>
      <c r="D167" s="189">
        <f t="shared" si="2"/>
        <v>3.7183208324951546E-3</v>
      </c>
      <c r="E167" s="208">
        <f>town_population[[#This Row],[Pop Share of State]]/(INDEX(regional_population[Pop Share of State],MATCH(town_population[[#This Row],[Regional Planning Commission]],regional_population[Regional Planning Commission],0)))</f>
        <v>4.2188207589892217E-2</v>
      </c>
    </row>
    <row r="168" spans="1:5" ht="15.75" x14ac:dyDescent="0.25">
      <c r="A168" s="187" t="s">
        <v>377</v>
      </c>
      <c r="B168" s="187" t="s">
        <v>233</v>
      </c>
      <c r="C168" s="187">
        <v>4114</v>
      </c>
      <c r="D168" s="189">
        <f t="shared" si="2"/>
        <v>6.5681287698089591E-3</v>
      </c>
      <c r="E168" s="208">
        <f>town_population[[#This Row],[Pop Share of State]]/(INDEX(regional_population[Pop Share of State],MATCH(town_population[[#This Row],[Regional Planning Commission]],regional_population[Regional Planning Commission],0)))</f>
        <v>2.5925412449743512E-2</v>
      </c>
    </row>
    <row r="169" spans="1:5" ht="15.75" x14ac:dyDescent="0.25">
      <c r="A169" s="187" t="s">
        <v>378</v>
      </c>
      <c r="B169" s="187" t="s">
        <v>201</v>
      </c>
      <c r="C169" s="187">
        <v>650</v>
      </c>
      <c r="D169" s="189">
        <f t="shared" si="2"/>
        <v>1.0377451872571276E-3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379</v>
      </c>
      <c r="B170" s="187" t="s">
        <v>217</v>
      </c>
      <c r="C170" s="187">
        <v>1095</v>
      </c>
      <c r="D170" s="189">
        <f t="shared" si="2"/>
        <v>1.7482015077639305E-3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380</v>
      </c>
      <c r="B171" s="187" t="s">
        <v>211</v>
      </c>
      <c r="C171" s="187">
        <v>5190</v>
      </c>
      <c r="D171" s="189">
        <f t="shared" si="2"/>
        <v>8.2859961874838343E-3</v>
      </c>
      <c r="E171" s="208">
        <f>town_population[[#This Row],[Pop Share of State]]/(INDEX(regional_population[Pop Share of State],MATCH(town_population[[#This Row],[Regional Planning Commission]],regional_population[Regional Planning Commission],0)))</f>
        <v>0.11239604989604988</v>
      </c>
    </row>
    <row r="172" spans="1:5" ht="15.75" x14ac:dyDescent="0.25">
      <c r="A172" s="187" t="s">
        <v>381</v>
      </c>
      <c r="B172" s="187" t="s">
        <v>220</v>
      </c>
      <c r="C172" s="187">
        <v>684</v>
      </c>
      <c r="D172" s="189">
        <f t="shared" si="2"/>
        <v>1.0920272432059621E-3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382</v>
      </c>
      <c r="B173" s="187" t="s">
        <v>217</v>
      </c>
      <c r="C173" s="187">
        <v>2778</v>
      </c>
      <c r="D173" s="189">
        <f t="shared" si="2"/>
        <v>4.4351632772312317E-3</v>
      </c>
      <c r="E173" s="208">
        <f>town_population[[#This Row],[Pop Share of State]]/(INDEX(regional_population[Pop Share of State],MATCH(town_population[[#This Row],[Regional Planning Commission]],regional_population[Regional Planning Commission],0)))</f>
        <v>5.0045938496460024E-2</v>
      </c>
    </row>
    <row r="174" spans="1:5" ht="15.75" x14ac:dyDescent="0.25">
      <c r="A174" s="187" t="s">
        <v>383</v>
      </c>
      <c r="B174" s="187" t="s">
        <v>209</v>
      </c>
      <c r="C174" s="187">
        <v>620</v>
      </c>
      <c r="D174" s="189">
        <f t="shared" si="2"/>
        <v>9.89849255537568E-4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384</v>
      </c>
      <c r="B175" s="187" t="s">
        <v>227</v>
      </c>
      <c r="C175" s="187">
        <v>16217</v>
      </c>
      <c r="D175" s="189">
        <f t="shared" si="2"/>
        <v>2.5890944156536679E-2</v>
      </c>
      <c r="E175" s="208">
        <f>town_population[[#This Row],[Pop Share of State]]/(INDEX(regional_population[Pop Share of State],MATCH(town_population[[#This Row],[Regional Planning Commission]],regional_population[Regional Planning Commission],0)))</f>
        <v>0.26917522864209009</v>
      </c>
    </row>
    <row r="176" spans="1:5" ht="15.75" x14ac:dyDescent="0.25">
      <c r="A176" s="187" t="s">
        <v>385</v>
      </c>
      <c r="B176" s="187" t="s">
        <v>227</v>
      </c>
      <c r="C176" s="187">
        <v>4048</v>
      </c>
      <c r="D176" s="189">
        <f t="shared" si="2"/>
        <v>6.4627577200259273E-3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386</v>
      </c>
      <c r="B177" s="187" t="s">
        <v>203</v>
      </c>
      <c r="C177" s="187">
        <v>1118</v>
      </c>
      <c r="D177" s="189">
        <f t="shared" si="2"/>
        <v>1.7849217220822597E-3</v>
      </c>
      <c r="E177" s="208">
        <f>town_population[[#This Row],[Pop Share of State]]/(INDEX(regional_population[Pop Share of State],MATCH(town_population[[#This Row],[Regional Planning Commission]],regional_population[Regional Planning Commission],0)))</f>
        <v>1.7333333333333336E-2</v>
      </c>
    </row>
    <row r="178" spans="1:5" ht="15.75" x14ac:dyDescent="0.25">
      <c r="A178" s="187" t="s">
        <v>401</v>
      </c>
      <c r="B178" s="187" t="s">
        <v>205</v>
      </c>
      <c r="C178" s="187">
        <v>6157</v>
      </c>
      <c r="D178" s="189">
        <f t="shared" si="2"/>
        <v>9.8298417199109769E-3</v>
      </c>
      <c r="E178" s="208">
        <f>town_population[[#This Row],[Pop Share of State]]/(INDEX(regional_population[Pop Share of State],MATCH(town_population[[#This Row],[Regional Planning Commission]],regional_population[Regional Planning Commission],0)))</f>
        <v>0.11152975273978806</v>
      </c>
    </row>
    <row r="179" spans="1:5" ht="15.75" x14ac:dyDescent="0.25">
      <c r="A179" s="187" t="s">
        <v>509</v>
      </c>
      <c r="B179" s="187" t="s">
        <v>205</v>
      </c>
      <c r="C179" s="187">
        <v>6889</v>
      </c>
      <c r="D179" s="189">
        <f t="shared" si="2"/>
        <v>1.0998502453868235E-2</v>
      </c>
      <c r="E179" s="208">
        <f>town_population[[#This Row],[Pop Share of State]]/(INDEX(regional_population[Pop Share of State],MATCH(town_population[[#This Row],[Regional Planning Commission]],regional_population[Regional Planning Commission],0)))</f>
        <v>0.12478942124807535</v>
      </c>
    </row>
    <row r="180" spans="1:5" ht="15.75" x14ac:dyDescent="0.25">
      <c r="A180" s="187" t="s">
        <v>402</v>
      </c>
      <c r="B180" s="187" t="s">
        <v>233</v>
      </c>
      <c r="C180" s="187">
        <v>772</v>
      </c>
      <c r="D180" s="189">
        <f t="shared" si="2"/>
        <v>1.2325219762500039E-3</v>
      </c>
      <c r="E180" s="208">
        <f>town_population[[#This Row],[Pop Share of State]]/(INDEX(regional_population[Pop Share of State],MATCH(town_population[[#This Row],[Regional Planning Commission]],regional_population[Regional Planning Commission],0)))</f>
        <v>4.8649534300442363E-3</v>
      </c>
    </row>
    <row r="181" spans="1:5" ht="15.75" x14ac:dyDescent="0.25">
      <c r="A181" s="187" t="s">
        <v>403</v>
      </c>
      <c r="B181" s="187" t="s">
        <v>203</v>
      </c>
      <c r="C181" s="187">
        <v>7573</v>
      </c>
      <c r="D181" s="189">
        <f t="shared" si="2"/>
        <v>1.2090529697074198E-2</v>
      </c>
      <c r="E181" s="208">
        <f>town_population[[#This Row],[Pop Share of State]]/(INDEX(regional_population[Pop Share of State],MATCH(town_population[[#This Row],[Regional Planning Commission]],regional_population[Regional Planning Commission],0)))</f>
        <v>0.11741085271317832</v>
      </c>
    </row>
    <row r="182" spans="1:5" ht="15.75" x14ac:dyDescent="0.25">
      <c r="A182" s="187" t="s">
        <v>387</v>
      </c>
      <c r="B182" s="187" t="s">
        <v>201</v>
      </c>
      <c r="C182" s="187">
        <v>1142</v>
      </c>
      <c r="D182" s="189">
        <f t="shared" si="2"/>
        <v>1.8232384674579075E-3</v>
      </c>
      <c r="E182" s="208">
        <f>town_population[[#This Row],[Pop Share of State]]/(INDEX(regional_population[Pop Share of State],MATCH(town_population[[#This Row],[Regional Planning Commission]],regional_population[Regional Planning Commission],0)))</f>
        <v>3.1564400221116645E-2</v>
      </c>
    </row>
    <row r="183" spans="1:5" ht="15.75" x14ac:dyDescent="0.25">
      <c r="A183" s="187" t="s">
        <v>388</v>
      </c>
      <c r="B183" s="187" t="s">
        <v>209</v>
      </c>
      <c r="C183" s="187">
        <v>516</v>
      </c>
      <c r="D183" s="189">
        <f t="shared" si="2"/>
        <v>8.2381002557642749E-4</v>
      </c>
      <c r="E183" s="208">
        <f>town_population[[#This Row],[Pop Share of State]]/(INDEX(regional_population[Pop Share of State],MATCH(town_population[[#This Row],[Regional Planning Commission]],regional_population[Regional Planning Commission],0)))</f>
        <v>1.4654511374286442E-2</v>
      </c>
    </row>
    <row r="184" spans="1:5" ht="15.75" x14ac:dyDescent="0.25">
      <c r="A184" s="187" t="s">
        <v>389</v>
      </c>
      <c r="B184" s="187" t="s">
        <v>211</v>
      </c>
      <c r="C184" s="187">
        <v>97</v>
      </c>
      <c r="D184" s="189">
        <f t="shared" si="2"/>
        <v>1.5486351255990984E-4</v>
      </c>
      <c r="E184" s="208">
        <f>town_population[[#This Row],[Pop Share of State]]/(INDEX(regional_population[Pop Share of State],MATCH(town_population[[#This Row],[Regional Planning Commission]],regional_population[Regional Planning Commission],0)))</f>
        <v>2.1006583506583509E-3</v>
      </c>
    </row>
    <row r="185" spans="1:5" ht="15.75" x14ac:dyDescent="0.25">
      <c r="A185" s="187" t="s">
        <v>390</v>
      </c>
      <c r="B185" s="187" t="s">
        <v>209</v>
      </c>
      <c r="C185" s="187">
        <v>3558</v>
      </c>
      <c r="D185" s="189">
        <f t="shared" si="2"/>
        <v>5.6804575019397856E-3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391</v>
      </c>
      <c r="B186" s="187" t="s">
        <v>217</v>
      </c>
      <c r="C186" s="187">
        <v>1521</v>
      </c>
      <c r="D186" s="189">
        <f t="shared" si="2"/>
        <v>2.428323738181679E-3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392</v>
      </c>
      <c r="B187" s="187" t="s">
        <v>203</v>
      </c>
      <c r="C187" s="187">
        <v>568</v>
      </c>
      <c r="D187" s="189">
        <f t="shared" si="2"/>
        <v>9.068296405569978E-4</v>
      </c>
      <c r="E187" s="208">
        <f>town_population[[#This Row],[Pop Share of State]]/(INDEX(regional_population[Pop Share of State],MATCH(town_population[[#This Row],[Regional Planning Commission]],regional_population[Regional Planning Commission],0)))</f>
        <v>8.806201550387598E-3</v>
      </c>
    </row>
    <row r="188" spans="1:5" ht="15.75" x14ac:dyDescent="0.25">
      <c r="A188" s="187" t="s">
        <v>393</v>
      </c>
      <c r="B188" s="187" t="s">
        <v>233</v>
      </c>
      <c r="C188" s="187">
        <v>7452</v>
      </c>
      <c r="D188" s="189">
        <f t="shared" si="2"/>
        <v>1.189734943913864E-2</v>
      </c>
      <c r="E188" s="208">
        <f>town_population[[#This Row],[Pop Share of State]]/(INDEX(regional_population[Pop Share of State],MATCH(town_population[[#This Row],[Regional Planning Commission]],regional_population[Regional Planning Commission],0)))</f>
        <v>4.6960664456851882E-2</v>
      </c>
    </row>
    <row r="189" spans="1:5" ht="15.75" x14ac:dyDescent="0.25">
      <c r="A189" s="187" t="s">
        <v>394</v>
      </c>
      <c r="B189" s="187" t="s">
        <v>205</v>
      </c>
      <c r="C189" s="187">
        <v>2329</v>
      </c>
      <c r="D189" s="189">
        <f t="shared" si="2"/>
        <v>3.7183208324951546E-3</v>
      </c>
      <c r="E189" s="208">
        <f>town_population[[#This Row],[Pop Share of State]]/(INDEX(regional_population[Pop Share of State],MATCH(town_population[[#This Row],[Regional Planning Commission]],regional_population[Regional Planning Commission],0)))</f>
        <v>4.2188207589892217E-2</v>
      </c>
    </row>
    <row r="190" spans="1:5" ht="15.75" x14ac:dyDescent="0.25">
      <c r="A190" s="187" t="s">
        <v>395</v>
      </c>
      <c r="B190" s="187" t="s">
        <v>201</v>
      </c>
      <c r="C190" s="187">
        <v>1179</v>
      </c>
      <c r="D190" s="189">
        <f t="shared" si="2"/>
        <v>1.8823101165786978E-3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396</v>
      </c>
      <c r="B191" s="187" t="s">
        <v>227</v>
      </c>
      <c r="C191" s="187">
        <v>1158</v>
      </c>
      <c r="D191" s="189">
        <f t="shared" si="2"/>
        <v>1.8487829643750061E-3</v>
      </c>
      <c r="E191" s="208">
        <f>town_population[[#This Row],[Pop Share of State]]/(INDEX(regional_population[Pop Share of State],MATCH(town_population[[#This Row],[Regional Planning Commission]],regional_population[Regional Planning Commission],0)))</f>
        <v>1.9220874068418346E-2</v>
      </c>
    </row>
    <row r="192" spans="1:5" ht="15.75" x14ac:dyDescent="0.25">
      <c r="A192" s="187" t="s">
        <v>397</v>
      </c>
      <c r="B192" s="187" t="s">
        <v>211</v>
      </c>
      <c r="C192" s="187">
        <v>7</v>
      </c>
      <c r="D192" s="189">
        <f t="shared" si="2"/>
        <v>1.1175717401230607E-5</v>
      </c>
      <c r="E192" s="208">
        <f>town_population[[#This Row],[Pop Share of State]]/(INDEX(regional_population[Pop Share of State],MATCH(town_population[[#This Row],[Regional Planning Commission]],regional_population[Regional Planning Commission],0)))</f>
        <v>1.5159390159390161E-4</v>
      </c>
    </row>
    <row r="193" spans="1:5" ht="15.75" x14ac:dyDescent="0.25">
      <c r="A193" s="187" t="s">
        <v>398</v>
      </c>
      <c r="B193" s="187" t="s">
        <v>233</v>
      </c>
      <c r="C193" s="187">
        <v>18378</v>
      </c>
      <c r="D193" s="189">
        <f t="shared" si="2"/>
        <v>2.9341047771402298E-2</v>
      </c>
      <c r="E193" s="208">
        <f>town_population[[#This Row],[Pop Share of State]]/(INDEX(regional_population[Pop Share of State],MATCH(town_population[[#This Row],[Regional Planning Commission]],regional_population[Regional Planning Commission],0)))</f>
        <v>0.11581361934890283</v>
      </c>
    </row>
    <row r="194" spans="1:5" ht="15.75" x14ac:dyDescent="0.25">
      <c r="A194" s="187" t="s">
        <v>399</v>
      </c>
      <c r="B194" s="187" t="s">
        <v>205</v>
      </c>
      <c r="C194" s="187">
        <v>1576</v>
      </c>
      <c r="D194" s="189">
        <f t="shared" ref="D194:D256" si="3">C194/SUM($C$2:$C$256)</f>
        <v>2.5161329463342049E-3</v>
      </c>
      <c r="E194" s="208">
        <f>town_population[[#This Row],[Pop Share of State]]/(INDEX(regional_population[Pop Share of State],MATCH(town_population[[#This Row],[Regional Planning Commission]],regional_population[Regional Planning Commission],0)))</f>
        <v>2.8548138755547504E-2</v>
      </c>
    </row>
    <row r="195" spans="1:5" ht="15.75" x14ac:dyDescent="0.25">
      <c r="A195" s="187" t="s">
        <v>400</v>
      </c>
      <c r="B195" s="187" t="s">
        <v>207</v>
      </c>
      <c r="C195" s="187">
        <v>9301</v>
      </c>
      <c r="D195" s="189">
        <f t="shared" si="3"/>
        <v>1.4849335364120838E-2</v>
      </c>
      <c r="E195" s="208">
        <f>town_population[[#This Row],[Pop Share of State]]/(INDEX(regional_population[Pop Share of State],MATCH(town_population[[#This Row],[Regional Planning Commission]],regional_population[Regional Planning Commission],0)))</f>
        <v>0.37269594486295882</v>
      </c>
    </row>
    <row r="196" spans="1:5" ht="15.75" x14ac:dyDescent="0.25">
      <c r="A196" s="187" t="s">
        <v>404</v>
      </c>
      <c r="B196" s="187" t="s">
        <v>209</v>
      </c>
      <c r="C196" s="187">
        <v>878</v>
      </c>
      <c r="D196" s="189">
        <f t="shared" si="3"/>
        <v>1.4017542683257818E-3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405</v>
      </c>
      <c r="B197" s="187" t="s">
        <v>203</v>
      </c>
      <c r="C197" s="187">
        <v>278</v>
      </c>
      <c r="D197" s="189">
        <f t="shared" si="3"/>
        <v>4.4383563393458691E-4</v>
      </c>
      <c r="E197" s="208">
        <f>town_population[[#This Row],[Pop Share of State]]/(INDEX(regional_population[Pop Share of State],MATCH(town_population[[#This Row],[Regional Planning Commission]],regional_population[Regional Planning Commission],0)))</f>
        <v>4.3100775193798454E-3</v>
      </c>
    </row>
    <row r="198" spans="1:5" ht="15.75" x14ac:dyDescent="0.25">
      <c r="A198" s="187" t="s">
        <v>406</v>
      </c>
      <c r="B198" s="187" t="s">
        <v>201</v>
      </c>
      <c r="C198" s="187">
        <v>1762</v>
      </c>
      <c r="D198" s="189">
        <f t="shared" si="3"/>
        <v>2.8130877229954753E-3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407</v>
      </c>
      <c r="B199" s="187" t="s">
        <v>217</v>
      </c>
      <c r="C199" s="187">
        <v>735</v>
      </c>
      <c r="D199" s="189">
        <f t="shared" si="3"/>
        <v>1.1734503271292136E-3</v>
      </c>
      <c r="E199" s="208">
        <f>town_population[[#This Row],[Pop Share of State]]/(INDEX(regional_population[Pop Share of State],MATCH(town_population[[#This Row],[Regional Planning Commission]],regional_population[Regional Planning Commission],0)))</f>
        <v>1.3241096038480244E-2</v>
      </c>
    </row>
    <row r="200" spans="1:5" ht="15.75" x14ac:dyDescent="0.25">
      <c r="A200" s="187" t="s">
        <v>408</v>
      </c>
      <c r="B200" s="187" t="s">
        <v>224</v>
      </c>
      <c r="C200" s="187">
        <v>4371</v>
      </c>
      <c r="D200" s="189">
        <f t="shared" si="3"/>
        <v>6.9784372515398546E-3</v>
      </c>
      <c r="E200" s="208">
        <f>town_population[[#This Row],[Pop Share of State]]/(INDEX(regional_population[Pop Share of State],MATCH(town_population[[#This Row],[Regional Planning Commission]],regional_population[Regional Planning Commission],0)))</f>
        <v>0.17594493418669241</v>
      </c>
    </row>
    <row r="201" spans="1:5" ht="15.75" x14ac:dyDescent="0.25">
      <c r="A201" s="187" t="s">
        <v>409</v>
      </c>
      <c r="B201" s="187" t="s">
        <v>217</v>
      </c>
      <c r="C201" s="187">
        <v>1037</v>
      </c>
      <c r="D201" s="189">
        <f t="shared" si="3"/>
        <v>1.6556027064394483E-3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410</v>
      </c>
      <c r="B202" s="187" t="s">
        <v>211</v>
      </c>
      <c r="C202" s="187">
        <v>171</v>
      </c>
      <c r="D202" s="189">
        <f t="shared" si="3"/>
        <v>2.7300681080149052E-4</v>
      </c>
      <c r="E202" s="208">
        <f>town_population[[#This Row],[Pop Share of State]]/(INDEX(regional_population[Pop Share of State],MATCH(town_population[[#This Row],[Regional Planning Commission]],regional_population[Regional Planning Commission],0)))</f>
        <v>3.7032224532224534E-3</v>
      </c>
    </row>
    <row r="203" spans="1:5" ht="15.75" x14ac:dyDescent="0.25">
      <c r="A203" s="187" t="s">
        <v>411</v>
      </c>
      <c r="B203" s="187" t="s">
        <v>227</v>
      </c>
      <c r="C203" s="187">
        <v>499</v>
      </c>
      <c r="D203" s="189">
        <f t="shared" si="3"/>
        <v>7.9666899760201038E-4</v>
      </c>
      <c r="E203" s="208">
        <f>town_population[[#This Row],[Pop Share of State]]/(INDEX(regional_population[Pop Share of State],MATCH(town_population[[#This Row],[Regional Planning Commission]],regional_population[Regional Planning Commission],0)))</f>
        <v>8.2825700864773352E-3</v>
      </c>
    </row>
    <row r="204" spans="1:5" ht="15.75" x14ac:dyDescent="0.25">
      <c r="A204" s="187" t="s">
        <v>412</v>
      </c>
      <c r="B204" s="187" t="s">
        <v>209</v>
      </c>
      <c r="C204" s="187">
        <v>934</v>
      </c>
      <c r="D204" s="189">
        <f t="shared" si="3"/>
        <v>1.4911600075356267E-3</v>
      </c>
      <c r="E204" s="208">
        <f>town_population[[#This Row],[Pop Share of State]]/(INDEX(regional_population[Pop Share of State],MATCH(town_population[[#This Row],[Regional Planning Commission]],regional_population[Regional Planning Commission],0)))</f>
        <v>2.6525801596092129E-2</v>
      </c>
    </row>
    <row r="205" spans="1:5" ht="15.75" x14ac:dyDescent="0.25">
      <c r="A205" s="187" t="s">
        <v>413</v>
      </c>
      <c r="B205" s="187" t="s">
        <v>203</v>
      </c>
      <c r="C205" s="187">
        <v>948</v>
      </c>
      <c r="D205" s="189">
        <f t="shared" si="3"/>
        <v>1.5135114423380878E-3</v>
      </c>
      <c r="E205" s="208">
        <f>town_population[[#This Row],[Pop Share of State]]/(INDEX(regional_population[Pop Share of State],MATCH(town_population[[#This Row],[Regional Planning Commission]],regional_population[Regional Planning Commission],0)))</f>
        <v>1.4697674418604652E-2</v>
      </c>
    </row>
    <row r="206" spans="1:5" ht="15.75" x14ac:dyDescent="0.25">
      <c r="A206" s="187" t="s">
        <v>414</v>
      </c>
      <c r="B206" s="187" t="s">
        <v>205</v>
      </c>
      <c r="C206" s="187">
        <v>6433</v>
      </c>
      <c r="D206" s="189">
        <f t="shared" si="3"/>
        <v>1.0270484291730927E-2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415</v>
      </c>
      <c r="B207" s="187" t="s">
        <v>217</v>
      </c>
      <c r="C207" s="187">
        <v>2589</v>
      </c>
      <c r="D207" s="189">
        <f t="shared" si="3"/>
        <v>4.1334189073980055E-3</v>
      </c>
      <c r="E207" s="208">
        <f>town_population[[#This Row],[Pop Share of State]]/(INDEX(regional_population[Pop Share of State],MATCH(town_population[[#This Row],[Regional Planning Commission]],regional_population[Regional Planning Commission],0)))</f>
        <v>4.6641085229422251E-2</v>
      </c>
    </row>
    <row r="208" spans="1:5" ht="15.75" x14ac:dyDescent="0.25">
      <c r="A208" s="187" t="s">
        <v>416</v>
      </c>
      <c r="B208" s="187" t="s">
        <v>227</v>
      </c>
      <c r="C208" s="187">
        <v>558</v>
      </c>
      <c r="D208" s="189">
        <f t="shared" si="3"/>
        <v>8.9086432998381122E-4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417</v>
      </c>
      <c r="B209" s="187" t="s">
        <v>217</v>
      </c>
      <c r="C209" s="187">
        <v>1228</v>
      </c>
      <c r="D209" s="189">
        <f t="shared" si="3"/>
        <v>1.9605401383873122E-3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418</v>
      </c>
      <c r="B210" s="187" t="s">
        <v>211</v>
      </c>
      <c r="C210" s="187">
        <v>1126</v>
      </c>
      <c r="D210" s="189">
        <f t="shared" si="3"/>
        <v>1.7976939705408089E-3</v>
      </c>
      <c r="E210" s="208">
        <f>town_population[[#This Row],[Pop Share of State]]/(INDEX(regional_population[Pop Share of State],MATCH(town_population[[#This Row],[Regional Planning Commission]],regional_population[Regional Planning Commission],0)))</f>
        <v>2.4384961884961885E-2</v>
      </c>
    </row>
    <row r="211" spans="1:5" ht="15.75" x14ac:dyDescent="0.25">
      <c r="A211" s="187" t="s">
        <v>419</v>
      </c>
      <c r="B211" s="187" t="s">
        <v>203</v>
      </c>
      <c r="C211" s="187">
        <v>1413</v>
      </c>
      <c r="D211" s="189">
        <f t="shared" si="3"/>
        <v>2.2558983839912638E-3</v>
      </c>
      <c r="E211" s="208">
        <f>town_population[[#This Row],[Pop Share of State]]/(INDEX(regional_population[Pop Share of State],MATCH(town_population[[#This Row],[Regional Planning Commission]],regional_population[Regional Planning Commission],0)))</f>
        <v>2.1906976744186048E-2</v>
      </c>
    </row>
    <row r="212" spans="1:5" ht="15.75" x14ac:dyDescent="0.25">
      <c r="A212" s="187" t="s">
        <v>420</v>
      </c>
      <c r="B212" s="187" t="s">
        <v>217</v>
      </c>
      <c r="C212" s="187">
        <v>1237</v>
      </c>
      <c r="D212" s="189">
        <f t="shared" si="3"/>
        <v>1.9749089179031802E-3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421</v>
      </c>
      <c r="B213" s="187" t="s">
        <v>233</v>
      </c>
      <c r="C213" s="187">
        <v>3040</v>
      </c>
      <c r="D213" s="189">
        <f t="shared" si="3"/>
        <v>4.8534544142487205E-3</v>
      </c>
      <c r="E213" s="208">
        <f>town_population[[#This Row],[Pop Share of State]]/(INDEX(regional_population[Pop Share of State],MATCH(town_population[[#This Row],[Regional Planning Commission]],regional_population[Regional Planning Commission],0)))</f>
        <v>1.9157329569086116E-2</v>
      </c>
    </row>
    <row r="214" spans="1:5" ht="15.75" x14ac:dyDescent="0.25">
      <c r="A214" s="187" t="s">
        <v>422</v>
      </c>
      <c r="B214" s="187" t="s">
        <v>201</v>
      </c>
      <c r="C214" s="187">
        <v>2579</v>
      </c>
      <c r="D214" s="189">
        <f t="shared" si="3"/>
        <v>4.1174535968248188E-3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423</v>
      </c>
      <c r="B215" s="187" t="s">
        <v>211</v>
      </c>
      <c r="C215" s="187">
        <v>2027</v>
      </c>
      <c r="D215" s="189">
        <f t="shared" si="3"/>
        <v>3.2361684531849199E-3</v>
      </c>
      <c r="E215" s="208">
        <f>town_population[[#This Row],[Pop Share of State]]/(INDEX(regional_population[Pop Share of State],MATCH(town_population[[#This Row],[Regional Planning Commission]],regional_population[Regional Planning Commission],0)))</f>
        <v>4.3897262647262653E-2</v>
      </c>
    </row>
    <row r="216" spans="1:5" ht="15.75" x14ac:dyDescent="0.25">
      <c r="A216" s="187" t="s">
        <v>424</v>
      </c>
      <c r="B216" s="187" t="s">
        <v>217</v>
      </c>
      <c r="C216" s="187">
        <v>679</v>
      </c>
      <c r="D216" s="189">
        <f t="shared" si="3"/>
        <v>1.0840445879193687E-3</v>
      </c>
      <c r="E216" s="208">
        <f>town_population[[#This Row],[Pop Share of State]]/(INDEX(regional_population[Pop Share of State],MATCH(town_population[[#This Row],[Regional Planning Commission]],regional_population[Regional Planning Commission],0)))</f>
        <v>1.2232250626024605E-2</v>
      </c>
    </row>
    <row r="217" spans="1:5" ht="15.75" x14ac:dyDescent="0.25">
      <c r="A217" s="187" t="s">
        <v>425</v>
      </c>
      <c r="B217" s="187" t="s">
        <v>203</v>
      </c>
      <c r="C217" s="187">
        <v>108</v>
      </c>
      <c r="D217" s="189">
        <f t="shared" si="3"/>
        <v>1.7242535419041506E-4</v>
      </c>
      <c r="E217" s="208">
        <f>town_population[[#This Row],[Pop Share of State]]/(INDEX(regional_population[Pop Share of State],MATCH(town_population[[#This Row],[Regional Planning Commission]],regional_population[Regional Planning Commission],0)))</f>
        <v>1.6744186046511629E-3</v>
      </c>
    </row>
    <row r="218" spans="1:5" ht="15.75" x14ac:dyDescent="0.25">
      <c r="A218" s="187" t="s">
        <v>426</v>
      </c>
      <c r="B218" s="187" t="s">
        <v>220</v>
      </c>
      <c r="C218" s="187">
        <v>1607</v>
      </c>
      <c r="D218" s="189">
        <f t="shared" si="3"/>
        <v>2.5656254091110833E-3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427</v>
      </c>
      <c r="B219" s="187" t="s">
        <v>203</v>
      </c>
      <c r="C219" s="187">
        <v>1044</v>
      </c>
      <c r="D219" s="189">
        <f t="shared" si="3"/>
        <v>1.666778423840679E-3</v>
      </c>
      <c r="E219" s="208">
        <f>town_population[[#This Row],[Pop Share of State]]/(INDEX(regional_population[Pop Share of State],MATCH(town_population[[#This Row],[Regional Planning Commission]],regional_population[Regional Planning Commission],0)))</f>
        <v>1.6186046511627909E-2</v>
      </c>
    </row>
    <row r="220" spans="1:5" ht="15.75" x14ac:dyDescent="0.25">
      <c r="A220" s="187" t="s">
        <v>428</v>
      </c>
      <c r="B220" s="187" t="s">
        <v>227</v>
      </c>
      <c r="C220" s="187">
        <v>2098</v>
      </c>
      <c r="D220" s="189">
        <f t="shared" si="3"/>
        <v>3.3495221582545446E-3</v>
      </c>
      <c r="E220" s="208">
        <f>town_population[[#This Row],[Pop Share of State]]/(INDEX(regional_population[Pop Share of State],MATCH(town_population[[#This Row],[Regional Planning Commission]],regional_population[Regional Planning Commission],0)))</f>
        <v>3.4823310704267432E-2</v>
      </c>
    </row>
    <row r="221" spans="1:5" ht="15.75" x14ac:dyDescent="0.25">
      <c r="A221" s="187" t="s">
        <v>429</v>
      </c>
      <c r="B221" s="187" t="s">
        <v>201</v>
      </c>
      <c r="C221" s="187">
        <v>486</v>
      </c>
      <c r="D221" s="189">
        <f t="shared" si="3"/>
        <v>7.7591409385686775E-4</v>
      </c>
      <c r="E221" s="208">
        <f>town_population[[#This Row],[Pop Share of State]]/(INDEX(regional_population[Pop Share of State],MATCH(town_population[[#This Row],[Regional Planning Commission]],regional_population[Regional Planning Commission],0)))</f>
        <v>1.3432835820895522E-2</v>
      </c>
    </row>
    <row r="222" spans="1:5" ht="15.75" x14ac:dyDescent="0.25">
      <c r="A222" s="187" t="s">
        <v>430</v>
      </c>
      <c r="B222" s="187" t="s">
        <v>211</v>
      </c>
      <c r="C222" s="187">
        <v>694</v>
      </c>
      <c r="D222" s="189">
        <f t="shared" si="3"/>
        <v>1.1079925537791488E-3</v>
      </c>
      <c r="E222" s="208">
        <f>town_population[[#This Row],[Pop Share of State]]/(INDEX(regional_population[Pop Share of State],MATCH(town_population[[#This Row],[Regional Planning Commission]],regional_population[Regional Planning Commission],0)))</f>
        <v>1.5029452529452531E-2</v>
      </c>
    </row>
    <row r="223" spans="1:5" ht="15.75" x14ac:dyDescent="0.25">
      <c r="A223" s="187" t="s">
        <v>431</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432</v>
      </c>
      <c r="B224" s="187" t="s">
        <v>220</v>
      </c>
      <c r="C224" s="187">
        <v>1651</v>
      </c>
      <c r="D224" s="189">
        <f t="shared" si="3"/>
        <v>2.6358727756331042E-3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433</v>
      </c>
      <c r="B225" s="187" t="s">
        <v>203</v>
      </c>
      <c r="C225" s="187">
        <v>4</v>
      </c>
      <c r="D225" s="189">
        <f t="shared" si="3"/>
        <v>6.3861242292746321E-6</v>
      </c>
      <c r="E225" s="208">
        <f>town_population[[#This Row],[Pop Share of State]]/(INDEX(regional_population[Pop Share of State],MATCH(town_population[[#This Row],[Regional Planning Commission]],regional_population[Regional Planning Commission],0)))</f>
        <v>6.2015503875968993E-5</v>
      </c>
    </row>
    <row r="226" spans="1:5" ht="15.75" x14ac:dyDescent="0.25">
      <c r="A226" s="187" t="s">
        <v>434</v>
      </c>
      <c r="B226" s="187" t="s">
        <v>220</v>
      </c>
      <c r="C226" s="187">
        <v>1067</v>
      </c>
      <c r="D226" s="189">
        <f t="shared" si="3"/>
        <v>1.7034986381590082E-3</v>
      </c>
      <c r="E226" s="208">
        <f>town_population[[#This Row],[Pop Share of State]]/(INDEX(regional_population[Pop Share of State],MATCH(town_population[[#This Row],[Regional Planning Commission]],regional_population[Regional Planning Commission],0)))</f>
        <v>1.6454622561492792E-2</v>
      </c>
    </row>
    <row r="227" spans="1:5" ht="15.75" x14ac:dyDescent="0.25">
      <c r="A227" s="187" t="s">
        <v>435</v>
      </c>
      <c r="B227" s="187" t="s">
        <v>220</v>
      </c>
      <c r="C227" s="187">
        <v>5083</v>
      </c>
      <c r="D227" s="189">
        <f t="shared" si="3"/>
        <v>8.1151673643507383E-3</v>
      </c>
      <c r="E227" s="208">
        <f>town_population[[#This Row],[Pop Share of State]]/(INDEX(regional_population[Pop Share of State],MATCH(town_population[[#This Row],[Regional Planning Commission]],regional_population[Regional Planning Commission],0)))</f>
        <v>7.838692266173182E-2</v>
      </c>
    </row>
    <row r="228" spans="1:5" ht="15.75" x14ac:dyDescent="0.25">
      <c r="A228" s="187" t="s">
        <v>436</v>
      </c>
      <c r="B228" s="187" t="s">
        <v>203</v>
      </c>
      <c r="C228" s="187">
        <v>1489</v>
      </c>
      <c r="D228" s="189">
        <f t="shared" si="3"/>
        <v>2.3772347443474819E-3</v>
      </c>
      <c r="E228" s="208">
        <f>town_population[[#This Row],[Pop Share of State]]/(INDEX(regional_population[Pop Share of State],MATCH(town_population[[#This Row],[Regional Planning Commission]],regional_population[Regional Planning Commission],0)))</f>
        <v>2.3085271317829462E-2</v>
      </c>
    </row>
    <row r="229" spans="1:5" ht="15.75" x14ac:dyDescent="0.25">
      <c r="A229" s="187" t="s">
        <v>437</v>
      </c>
      <c r="B229" s="187" t="s">
        <v>224</v>
      </c>
      <c r="C229" s="187">
        <v>724</v>
      </c>
      <c r="D229" s="189">
        <f t="shared" si="3"/>
        <v>1.1558884854987084E-3</v>
      </c>
      <c r="E229" s="208">
        <f>town_population[[#This Row],[Pop Share of State]]/(INDEX(regional_population[Pop Share of State],MATCH(town_population[[#This Row],[Regional Planning Commission]],regional_population[Regional Planning Commission],0)))</f>
        <v>2.9143018154007161E-2</v>
      </c>
    </row>
    <row r="230" spans="1:5" ht="15.75" x14ac:dyDescent="0.25">
      <c r="A230" s="187" t="s">
        <v>438</v>
      </c>
      <c r="B230" s="187" t="s">
        <v>207</v>
      </c>
      <c r="C230" s="187">
        <v>2813</v>
      </c>
      <c r="D230" s="189">
        <f t="shared" si="3"/>
        <v>4.4910418642373851E-3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439</v>
      </c>
      <c r="B231" s="187" t="s">
        <v>227</v>
      </c>
      <c r="C231" s="187">
        <v>1116</v>
      </c>
      <c r="D231" s="189">
        <f t="shared" si="3"/>
        <v>1.7817286599676224E-3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440</v>
      </c>
      <c r="B232" s="187" t="s">
        <v>217</v>
      </c>
      <c r="C232" s="187">
        <v>650</v>
      </c>
      <c r="D232" s="189">
        <f t="shared" si="3"/>
        <v>1.0377451872571276E-3</v>
      </c>
      <c r="E232" s="208">
        <f>town_population[[#This Row],[Pop Share of State]]/(INDEX(regional_population[Pop Share of State],MATCH(town_population[[#This Row],[Regional Planning Commission]],regional_population[Regional Planning Commission],0)))</f>
        <v>1.1709812823145793E-2</v>
      </c>
    </row>
    <row r="233" spans="1:5" ht="15.75" x14ac:dyDescent="0.25">
      <c r="A233" s="187" t="s">
        <v>441</v>
      </c>
      <c r="B233" s="187" t="s">
        <v>227</v>
      </c>
      <c r="C233" s="187">
        <v>290</v>
      </c>
      <c r="D233" s="189">
        <f t="shared" si="3"/>
        <v>4.6299400662241084E-4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442</v>
      </c>
      <c r="B234" s="187" t="s">
        <v>227</v>
      </c>
      <c r="C234" s="187">
        <v>2335</v>
      </c>
      <c r="D234" s="189">
        <f t="shared" si="3"/>
        <v>3.7279000188390663E-3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443</v>
      </c>
      <c r="B235" s="187" t="s">
        <v>207</v>
      </c>
      <c r="C235" s="187">
        <v>1094</v>
      </c>
      <c r="D235" s="189">
        <f t="shared" si="3"/>
        <v>1.746604976706612E-3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444</v>
      </c>
      <c r="B236" s="187" t="s">
        <v>203</v>
      </c>
      <c r="C236" s="187">
        <v>534</v>
      </c>
      <c r="D236" s="189">
        <f t="shared" si="3"/>
        <v>8.5254758460816336E-4</v>
      </c>
      <c r="E236" s="208">
        <f>town_population[[#This Row],[Pop Share of State]]/(INDEX(regional_population[Pop Share of State],MATCH(town_population[[#This Row],[Regional Planning Commission]],regional_population[Regional Planning Commission],0)))</f>
        <v>8.2790697674418618E-3</v>
      </c>
    </row>
    <row r="237" spans="1:5" ht="15.75" x14ac:dyDescent="0.25">
      <c r="A237" s="187" t="s">
        <v>445</v>
      </c>
      <c r="B237" s="187" t="s">
        <v>233</v>
      </c>
      <c r="C237" s="187">
        <v>1937</v>
      </c>
      <c r="D237" s="189">
        <f t="shared" si="3"/>
        <v>3.0924806580262406E-3</v>
      </c>
      <c r="E237" s="208">
        <f>town_population[[#This Row],[Pop Share of State]]/(INDEX(regional_population[Pop Share of State],MATCH(town_population[[#This Row],[Regional Planning Commission]],regional_population[Regional Planning Commission],0)))</f>
        <v>1.2206495847144672E-2</v>
      </c>
    </row>
    <row r="238" spans="1:5" ht="15.75" x14ac:dyDescent="0.25">
      <c r="A238" s="187" t="s">
        <v>446</v>
      </c>
      <c r="B238" s="187" t="s">
        <v>211</v>
      </c>
      <c r="C238" s="187">
        <v>3148</v>
      </c>
      <c r="D238" s="189">
        <f t="shared" si="3"/>
        <v>5.0258797684391357E-3</v>
      </c>
      <c r="E238" s="208">
        <f>town_population[[#This Row],[Pop Share of State]]/(INDEX(regional_population[Pop Share of State],MATCH(town_population[[#This Row],[Regional Planning Commission]],regional_population[Regional Planning Commission],0)))</f>
        <v>6.817394317394318E-2</v>
      </c>
    </row>
    <row r="239" spans="1:5" ht="15.75" x14ac:dyDescent="0.25">
      <c r="A239" s="187" t="s">
        <v>447</v>
      </c>
      <c r="B239" s="187" t="s">
        <v>203</v>
      </c>
      <c r="C239" s="187">
        <v>393</v>
      </c>
      <c r="D239" s="189">
        <f t="shared" si="3"/>
        <v>6.2743670552623258E-4</v>
      </c>
      <c r="E239" s="208">
        <f>town_population[[#This Row],[Pop Share of State]]/(INDEX(regional_population[Pop Share of State],MATCH(town_population[[#This Row],[Regional Planning Commission]],regional_population[Regional Planning Commission],0)))</f>
        <v>6.0930232558139537E-3</v>
      </c>
    </row>
    <row r="240" spans="1:5" ht="15.75" x14ac:dyDescent="0.25">
      <c r="A240" s="187" t="s">
        <v>448</v>
      </c>
      <c r="B240" s="187" t="s">
        <v>211</v>
      </c>
      <c r="C240" s="187">
        <v>598</v>
      </c>
      <c r="D240" s="189">
        <f t="shared" si="3"/>
        <v>9.5472557227655754E-4</v>
      </c>
      <c r="E240" s="208">
        <f>town_population[[#This Row],[Pop Share of State]]/(INDEX(regional_population[Pop Share of State],MATCH(town_population[[#This Row],[Regional Planning Commission]],regional_population[Regional Planning Commission],0)))</f>
        <v>1.2950450450450452E-2</v>
      </c>
    </row>
    <row r="241" spans="1:5" ht="15.75" x14ac:dyDescent="0.25">
      <c r="A241" s="187" t="s">
        <v>449</v>
      </c>
      <c r="B241" s="187" t="s">
        <v>201</v>
      </c>
      <c r="C241" s="187">
        <v>854</v>
      </c>
      <c r="D241" s="189">
        <f t="shared" si="3"/>
        <v>1.363437522950134E-3</v>
      </c>
      <c r="E241" s="208">
        <f>town_population[[#This Row],[Pop Share of State]]/(INDEX(regional_population[Pop Share of State],MATCH(town_population[[#This Row],[Regional Planning Commission]],regional_population[Regional Planning Commission],0)))</f>
        <v>2.360420121614152E-2</v>
      </c>
    </row>
    <row r="242" spans="1:5" ht="15.75" x14ac:dyDescent="0.25">
      <c r="A242" s="187" t="s">
        <v>450</v>
      </c>
      <c r="B242" s="187" t="s">
        <v>203</v>
      </c>
      <c r="C242" s="187">
        <v>866</v>
      </c>
      <c r="D242" s="189">
        <f t="shared" si="3"/>
        <v>1.3825958956379578E-3</v>
      </c>
      <c r="E242" s="208">
        <f>town_population[[#This Row],[Pop Share of State]]/(INDEX(regional_population[Pop Share of State],MATCH(town_population[[#This Row],[Regional Planning Commission]],regional_population[Regional Planning Commission],0)))</f>
        <v>1.3426356589147287E-2</v>
      </c>
    </row>
    <row r="243" spans="1:5" ht="15.75" x14ac:dyDescent="0.25">
      <c r="A243" s="187" t="s">
        <v>451</v>
      </c>
      <c r="B243" s="187" t="s">
        <v>201</v>
      </c>
      <c r="C243" s="187">
        <v>409</v>
      </c>
      <c r="D243" s="189">
        <f t="shared" si="3"/>
        <v>6.5298120244333116E-4</v>
      </c>
      <c r="E243" s="208">
        <f>town_population[[#This Row],[Pop Share of State]]/(INDEX(regional_population[Pop Share of State],MATCH(town_population[[#This Row],[Regional Planning Commission]],regional_population[Regional Planning Commission],0)))</f>
        <v>1.1304588170259814E-2</v>
      </c>
    </row>
    <row r="244" spans="1:5" ht="15.75" x14ac:dyDescent="0.25">
      <c r="A244" s="187" t="s">
        <v>452</v>
      </c>
      <c r="B244" s="187" t="s">
        <v>211</v>
      </c>
      <c r="C244" s="187">
        <v>1237</v>
      </c>
      <c r="D244" s="189">
        <f t="shared" si="3"/>
        <v>1.9749089179031802E-3</v>
      </c>
      <c r="E244" s="208">
        <f>town_population[[#This Row],[Pop Share of State]]/(INDEX(regional_population[Pop Share of State],MATCH(town_population[[#This Row],[Regional Planning Commission]],regional_population[Regional Planning Commission],0)))</f>
        <v>2.6788808038808041E-2</v>
      </c>
    </row>
    <row r="245" spans="1:5" ht="15.75" x14ac:dyDescent="0.25">
      <c r="A245" s="187" t="s">
        <v>453</v>
      </c>
      <c r="B245" s="187" t="s">
        <v>220</v>
      </c>
      <c r="C245" s="187">
        <v>3397</v>
      </c>
      <c r="D245" s="189">
        <f t="shared" si="3"/>
        <v>5.4234160017114811E-3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454</v>
      </c>
      <c r="B246" s="187" t="s">
        <v>233</v>
      </c>
      <c r="C246" s="187">
        <v>8932</v>
      </c>
      <c r="D246" s="189">
        <f t="shared" si="3"/>
        <v>1.4260215403970253E-2</v>
      </c>
      <c r="E246" s="208">
        <f>town_population[[#This Row],[Pop Share of State]]/(INDEX(regional_population[Pop Share of State],MATCH(town_population[[#This Row],[Regional Planning Commission]],regional_population[Regional Planning Commission],0)))</f>
        <v>5.6287259115485905E-2</v>
      </c>
    </row>
    <row r="247" spans="1:5" ht="15.75" x14ac:dyDescent="0.25">
      <c r="A247" s="187" t="s">
        <v>455</v>
      </c>
      <c r="B247" s="187" t="s">
        <v>211</v>
      </c>
      <c r="C247" s="187">
        <v>2257</v>
      </c>
      <c r="D247" s="189">
        <f t="shared" si="3"/>
        <v>3.6033705963682112E-3</v>
      </c>
      <c r="E247" s="208">
        <f>town_population[[#This Row],[Pop Share of State]]/(INDEX(regional_population[Pop Share of State],MATCH(town_population[[#This Row],[Regional Planning Commission]],regional_population[Regional Planning Commission],0)))</f>
        <v>4.8878205128205128E-2</v>
      </c>
    </row>
    <row r="248" spans="1:5" ht="15.75" x14ac:dyDescent="0.25">
      <c r="A248" s="187" t="s">
        <v>456</v>
      </c>
      <c r="B248" s="187" t="s">
        <v>211</v>
      </c>
      <c r="C248" s="187">
        <v>422</v>
      </c>
      <c r="D248" s="189">
        <f t="shared" si="3"/>
        <v>6.7373610618847368E-4</v>
      </c>
      <c r="E248" s="208">
        <f>town_population[[#This Row],[Pop Share of State]]/(INDEX(regional_population[Pop Share of State],MATCH(town_population[[#This Row],[Regional Planning Commission]],regional_population[Regional Planning Commission],0)))</f>
        <v>9.1389466389466389E-3</v>
      </c>
    </row>
    <row r="249" spans="1:5" ht="15.75" x14ac:dyDescent="0.25">
      <c r="A249" s="187" t="s">
        <v>457</v>
      </c>
      <c r="B249" s="187" t="s">
        <v>207</v>
      </c>
      <c r="C249" s="187">
        <v>3504</v>
      </c>
      <c r="D249" s="189">
        <f t="shared" si="3"/>
        <v>5.594244824844578E-3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458</v>
      </c>
      <c r="B250" s="187" t="s">
        <v>211</v>
      </c>
      <c r="C250" s="187">
        <v>654</v>
      </c>
      <c r="D250" s="189">
        <f t="shared" si="3"/>
        <v>1.0441313114864024E-3</v>
      </c>
      <c r="E250" s="208">
        <f>town_population[[#This Row],[Pop Share of State]]/(INDEX(regional_population[Pop Share of State],MATCH(town_population[[#This Row],[Regional Planning Commission]],regional_population[Regional Planning Commission],0)))</f>
        <v>1.4163201663201666E-2</v>
      </c>
    </row>
    <row r="251" spans="1:5" ht="15.75" x14ac:dyDescent="0.25">
      <c r="A251" s="187" t="s">
        <v>459</v>
      </c>
      <c r="B251" s="187" t="s">
        <v>233</v>
      </c>
      <c r="C251" s="187">
        <v>7250</v>
      </c>
      <c r="D251" s="189">
        <f t="shared" si="3"/>
        <v>1.1574850165560271E-2</v>
      </c>
      <c r="E251" s="208">
        <f>town_population[[#This Row],[Pop Share of State]]/(INDEX(regional_population[Pop Share of State],MATCH(town_population[[#This Row],[Regional Planning Commission]],regional_population[Regional Planning Commission],0)))</f>
        <v>4.5687710321011293E-2</v>
      </c>
    </row>
    <row r="252" spans="1:5" ht="15.75" x14ac:dyDescent="0.25">
      <c r="A252" s="187" t="s">
        <v>460</v>
      </c>
      <c r="B252" s="187" t="s">
        <v>224</v>
      </c>
      <c r="C252" s="187">
        <v>1556</v>
      </c>
      <c r="D252" s="189">
        <f t="shared" si="3"/>
        <v>2.484202325187832E-3</v>
      </c>
      <c r="E252" s="208">
        <f>town_population[[#This Row],[Pop Share of State]]/(INDEX(regional_population[Pop Share of State],MATCH(town_population[[#This Row],[Regional Planning Commission]],regional_population[Regional Planning Commission],0)))</f>
        <v>6.2633337358612082E-2</v>
      </c>
    </row>
    <row r="253" spans="1:5" ht="15.75" x14ac:dyDescent="0.25">
      <c r="A253" s="187" t="s">
        <v>461</v>
      </c>
      <c r="B253" s="187" t="s">
        <v>220</v>
      </c>
      <c r="C253" s="187">
        <v>897</v>
      </c>
      <c r="D253" s="189">
        <f t="shared" si="3"/>
        <v>1.4320883584148362E-3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462</v>
      </c>
      <c r="B254" s="187" t="s">
        <v>209</v>
      </c>
      <c r="C254" s="187">
        <v>322</v>
      </c>
      <c r="D254" s="189">
        <f t="shared" si="3"/>
        <v>5.1408300045660787E-4</v>
      </c>
      <c r="E254" s="208">
        <f>town_population[[#This Row],[Pop Share of State]]/(INDEX(regional_population[Pop Share of State],MATCH(town_population[[#This Row],[Regional Planning Commission]],regional_population[Regional Planning Commission],0)))</f>
        <v>9.1448695010082071E-3</v>
      </c>
    </row>
    <row r="255" spans="1:5" ht="15.75" x14ac:dyDescent="0.25">
      <c r="A255" s="187" t="s">
        <v>463</v>
      </c>
      <c r="B255" s="187" t="s">
        <v>217</v>
      </c>
      <c r="C255" s="187">
        <v>3017</v>
      </c>
      <c r="D255" s="189">
        <f t="shared" si="3"/>
        <v>4.8167341999303913E-3</v>
      </c>
      <c r="E255" s="208">
        <f>town_population[[#This Row],[Pop Share of State]]/(INDEX(regional_population[Pop Share of State],MATCH(town_population[[#This Row],[Regional Planning Commission]],regional_population[Regional Planning Commission],0)))</f>
        <v>5.4351546596047483E-2</v>
      </c>
    </row>
    <row r="256" spans="1:5" ht="15.75" x14ac:dyDescent="0.25">
      <c r="A256" s="187" t="s">
        <v>464</v>
      </c>
      <c r="B256" s="187" t="s">
        <v>220</v>
      </c>
      <c r="C256" s="187">
        <v>891</v>
      </c>
      <c r="D256" s="189">
        <f t="shared" si="3"/>
        <v>1.4225091720709243E-3</v>
      </c>
      <c r="E256" s="208">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D2" zoomScale="70" zoomScaleNormal="70" workbookViewId="0">
      <selection activeCell="AK4" sqref="AK4"/>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511</v>
      </c>
      <c r="R1" t="s">
        <v>512</v>
      </c>
    </row>
    <row r="2" spans="1:37" ht="39" customHeight="1" x14ac:dyDescent="0.25">
      <c r="A2" s="210" t="s">
        <v>465</v>
      </c>
      <c r="B2" s="210" t="s">
        <v>466</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510</v>
      </c>
      <c r="R2" s="210" t="s">
        <v>515</v>
      </c>
      <c r="S2" s="210" t="s">
        <v>516</v>
      </c>
      <c r="T2" s="210" t="s">
        <v>517</v>
      </c>
      <c r="U2" s="210" t="s">
        <v>518</v>
      </c>
      <c r="V2" s="210" t="s">
        <v>519</v>
      </c>
      <c r="W2" s="210" t="s">
        <v>520</v>
      </c>
      <c r="X2" s="210" t="s">
        <v>521</v>
      </c>
      <c r="Y2" s="210" t="s">
        <v>522</v>
      </c>
      <c r="Z2" s="210" t="s">
        <v>523</v>
      </c>
      <c r="AA2" s="210" t="s">
        <v>524</v>
      </c>
      <c r="AB2" s="210" t="s">
        <v>525</v>
      </c>
      <c r="AC2" s="210" t="s">
        <v>526</v>
      </c>
      <c r="AD2" s="210" t="s">
        <v>527</v>
      </c>
      <c r="AE2" s="210" t="s">
        <v>528</v>
      </c>
      <c r="AF2" s="210" t="s">
        <v>529</v>
      </c>
      <c r="AG2" s="210" t="s">
        <v>530</v>
      </c>
      <c r="AH2" s="210" t="s">
        <v>531</v>
      </c>
      <c r="AJ2" t="s">
        <v>466</v>
      </c>
      <c r="AK2" t="s">
        <v>529</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220</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233</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224</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212</v>
      </c>
      <c r="B9" t="str">
        <f>INDEX(town_population[Regional Planning Commission],MATCH(town_establishments[[#This Row],[Municipality]],town_population[Municipality],0))</f>
        <v>Northeastern Vermont Development Association</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214</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227</v>
      </c>
      <c r="AK10" s="23">
        <f>SUMIF(town_establishments[Regional Planning Commission],AJ10,town_establishments[share of state establishments (no residual)])</f>
        <v>9.6583193003422246E-2</v>
      </c>
    </row>
    <row r="11" spans="1:37" x14ac:dyDescent="0.25">
      <c r="A11" t="s">
        <v>215</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216</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217</v>
      </c>
      <c r="AK12" s="23">
        <f>SUMIF(town_establishments[Regional Planning Commission],AJ12,town_establishments[share of state establishments (no residual)])</f>
        <v>8.8000434570047248E-2</v>
      </c>
    </row>
    <row r="13" spans="1:37" x14ac:dyDescent="0.25">
      <c r="A13" t="s">
        <v>218</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221</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219</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222</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223</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225</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226</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228</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229</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230</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231</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232</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234</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235</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236</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237</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238</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239</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240</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241</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242</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243</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244</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245</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247</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248</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249</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250</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251</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252</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253</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254</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255</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256</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257</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258</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259</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260</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261</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262</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263</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264</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265</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266</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267</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268</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269</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270</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271</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272</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273</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274</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275</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276</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277</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278</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279</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280</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281</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282</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283</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284</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286</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287</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288</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289</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291</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292</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293</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294</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295</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296</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297</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298</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299</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300</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301</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302</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303</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304</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305</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306</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307</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308</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309</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310</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311</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312</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313</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314</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315</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316</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317</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318</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320</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321</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322</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325</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326</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327</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328</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329</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330</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331</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332</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333</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334</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335</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336</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337</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338</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339</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340</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341</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342</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343</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344</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345</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346</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347</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349</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350</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348</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351</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352</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353</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354</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355</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356</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357</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358</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359</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360</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361</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362</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363</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364</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365</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366</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367</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368</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369</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370</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371</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372</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373</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374</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375</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376</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377</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378</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379</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380</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381</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382</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383</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385</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384</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386</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509</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401</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402</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403</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387</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388</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389</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390</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391</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392</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393</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394</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319</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395</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396</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398</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399</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400</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404</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405</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406</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407</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408</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409</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410</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411</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412</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413</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414</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415</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416</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417</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418</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419</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420</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421</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422</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423</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424</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425</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426</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427</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428</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429</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430</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432</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434</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435</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436</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437</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438</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439</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440</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442</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444</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445</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441</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446</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447</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448</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443</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449</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450</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451</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452</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453</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454</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455</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456</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457</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458</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459</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460</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461</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462</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463</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464</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508</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510</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selection activeCell="E20" sqref="E20"/>
    </sheetView>
  </sheetViews>
  <sheetFormatPr defaultRowHeight="15" x14ac:dyDescent="0.25"/>
  <sheetData>
    <row r="2" spans="1:8" x14ac:dyDescent="0.25">
      <c r="B2" t="s">
        <v>548</v>
      </c>
      <c r="C2" t="s">
        <v>279</v>
      </c>
      <c r="D2" t="s">
        <v>549</v>
      </c>
      <c r="E2" t="s">
        <v>550</v>
      </c>
    </row>
    <row r="3" spans="1:8" x14ac:dyDescent="0.25">
      <c r="A3" t="s">
        <v>551</v>
      </c>
      <c r="B3" s="216">
        <f>SUM(B4:B5)</f>
        <v>11200</v>
      </c>
      <c r="C3" s="216">
        <f t="shared" ref="C3:D3" si="0">SUM(C4:C5)</f>
        <v>2701</v>
      </c>
      <c r="D3" s="216">
        <f t="shared" si="0"/>
        <v>12287</v>
      </c>
      <c r="E3" s="217">
        <f>SUM(B3:D3)</f>
        <v>26188</v>
      </c>
    </row>
    <row r="4" spans="1:8" x14ac:dyDescent="0.25">
      <c r="A4" t="s">
        <v>552</v>
      </c>
      <c r="B4" s="216">
        <v>8789</v>
      </c>
      <c r="C4">
        <v>2156</v>
      </c>
      <c r="D4">
        <v>9047</v>
      </c>
      <c r="E4" s="217">
        <f t="shared" ref="E4:E5" si="1">SUM(B4:D4)</f>
        <v>19992</v>
      </c>
    </row>
    <row r="5" spans="1:8" x14ac:dyDescent="0.25">
      <c r="A5" t="s">
        <v>553</v>
      </c>
      <c r="B5" s="216">
        <v>2411</v>
      </c>
      <c r="C5">
        <v>545</v>
      </c>
      <c r="D5">
        <v>3240</v>
      </c>
      <c r="E5" s="217">
        <f t="shared" si="1"/>
        <v>6196</v>
      </c>
    </row>
    <row r="6" spans="1:8" x14ac:dyDescent="0.25">
      <c r="B6" s="216"/>
      <c r="E6" s="217"/>
    </row>
    <row r="7" spans="1:8" x14ac:dyDescent="0.25">
      <c r="A7" t="s">
        <v>554</v>
      </c>
      <c r="B7" t="s">
        <v>555</v>
      </c>
      <c r="C7" t="s">
        <v>553</v>
      </c>
      <c r="D7" t="s">
        <v>12</v>
      </c>
      <c r="E7" t="s">
        <v>556</v>
      </c>
      <c r="F7" t="s">
        <v>557</v>
      </c>
      <c r="G7" t="s">
        <v>558</v>
      </c>
      <c r="H7" t="s">
        <v>559</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218</v>
      </c>
      <c r="B9">
        <v>500</v>
      </c>
      <c r="C9">
        <v>118</v>
      </c>
      <c r="D9">
        <f>SUM(B9:C9)</f>
        <v>618</v>
      </c>
      <c r="E9" s="215">
        <f>D9/$E$3</f>
        <v>2.3598594776233391E-2</v>
      </c>
      <c r="F9" s="216">
        <v>88406</v>
      </c>
      <c r="G9" s="216">
        <f>F9/D9</f>
        <v>143.05177993527508</v>
      </c>
      <c r="H9" s="219">
        <f>G9*E9</f>
        <v>3.3758209867114712</v>
      </c>
    </row>
    <row r="10" spans="1:8" ht="15.75" x14ac:dyDescent="0.25">
      <c r="A10" s="218" t="s">
        <v>222</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231</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240</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244</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245</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247</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252</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255</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262</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265</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266</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268</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269</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274</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291</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294</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297</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298</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299</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303</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308</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313</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316</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320</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323</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327</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329</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330</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331</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344</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349</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352</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560</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356</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362</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386</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392</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561</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405</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413</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419</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562</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425</v>
      </c>
      <c r="B52">
        <v>39</v>
      </c>
      <c r="C52">
        <v>2</v>
      </c>
      <c r="D52">
        <f t="shared" si="2"/>
        <v>41</v>
      </c>
      <c r="E52" s="215">
        <f t="shared" si="3"/>
        <v>1.5656025660607913E-3</v>
      </c>
      <c r="F52" s="216">
        <v>5781</v>
      </c>
      <c r="G52" s="216">
        <f t="shared" si="4"/>
        <v>141</v>
      </c>
      <c r="H52" s="219">
        <f t="shared" si="5"/>
        <v>0.22074996181457157</v>
      </c>
    </row>
    <row r="53" spans="1:8" ht="15.75" x14ac:dyDescent="0.25">
      <c r="A53" s="220" t="s">
        <v>427</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436</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444</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447</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450</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workbookViewId="0">
      <selection activeCell="I10" sqref="I10:K10"/>
    </sheetView>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38" t="s">
        <v>492</v>
      </c>
      <c r="C3" s="239"/>
      <c r="D3" s="239"/>
      <c r="E3" s="239"/>
      <c r="F3" s="239"/>
      <c r="G3" s="239"/>
      <c r="H3" s="239"/>
      <c r="I3" s="239"/>
      <c r="J3" s="239"/>
      <c r="K3" s="240"/>
      <c r="O3" t="s">
        <v>213</v>
      </c>
    </row>
    <row r="4" spans="2:15" x14ac:dyDescent="0.25">
      <c r="B4" s="101"/>
      <c r="C4" s="241" t="s">
        <v>493</v>
      </c>
      <c r="D4" s="241"/>
      <c r="E4" s="241"/>
      <c r="F4" s="241"/>
      <c r="G4" s="241"/>
      <c r="H4" s="241"/>
      <c r="I4" s="241"/>
      <c r="J4" s="241"/>
      <c r="K4" s="244"/>
      <c r="O4" t="s">
        <v>246</v>
      </c>
    </row>
    <row r="5" spans="2:15" x14ac:dyDescent="0.25">
      <c r="B5" s="101"/>
      <c r="C5" s="241" t="s">
        <v>155</v>
      </c>
      <c r="D5" s="241"/>
      <c r="E5" s="241"/>
      <c r="F5" s="241"/>
      <c r="G5" s="241"/>
      <c r="H5" s="241"/>
      <c r="I5" s="241"/>
      <c r="J5" s="241"/>
      <c r="K5" s="244"/>
      <c r="O5" t="s">
        <v>285</v>
      </c>
    </row>
    <row r="6" spans="2:15" x14ac:dyDescent="0.25">
      <c r="B6" s="101"/>
      <c r="C6" s="102"/>
      <c r="D6" s="241" t="s">
        <v>153</v>
      </c>
      <c r="E6" s="241"/>
      <c r="F6" s="241"/>
      <c r="G6" s="241"/>
      <c r="H6" s="241"/>
      <c r="I6" s="241"/>
      <c r="J6" s="241"/>
      <c r="K6" s="244"/>
      <c r="O6" t="s">
        <v>290</v>
      </c>
    </row>
    <row r="7" spans="2:15" x14ac:dyDescent="0.25">
      <c r="B7" s="101"/>
      <c r="C7" s="102"/>
      <c r="D7" s="241" t="s">
        <v>154</v>
      </c>
      <c r="E7" s="241"/>
      <c r="F7" s="241"/>
      <c r="G7" s="241"/>
      <c r="H7" s="241"/>
      <c r="I7" s="241"/>
      <c r="J7" s="241"/>
      <c r="K7" s="244"/>
      <c r="O7" t="s">
        <v>323</v>
      </c>
    </row>
    <row r="8" spans="2:15" x14ac:dyDescent="0.25">
      <c r="B8" s="101"/>
      <c r="C8" s="102"/>
      <c r="D8" s="242" t="s">
        <v>156</v>
      </c>
      <c r="E8" s="242"/>
      <c r="F8" s="242"/>
      <c r="G8" s="242"/>
      <c r="H8" s="242"/>
      <c r="I8" s="242"/>
      <c r="J8" s="242"/>
      <c r="K8" s="243"/>
      <c r="O8" t="s">
        <v>324</v>
      </c>
    </row>
    <row r="9" spans="2:15" x14ac:dyDescent="0.25">
      <c r="B9" s="101"/>
      <c r="C9" s="102"/>
      <c r="D9" s="102"/>
      <c r="E9" s="102"/>
      <c r="F9" s="102"/>
      <c r="G9" s="102"/>
      <c r="H9" s="102"/>
      <c r="I9" s="102"/>
      <c r="J9" s="102"/>
      <c r="K9" s="103"/>
      <c r="O9" t="s">
        <v>397</v>
      </c>
    </row>
    <row r="10" spans="2:15" ht="15" customHeight="1" x14ac:dyDescent="0.25">
      <c r="B10" s="245" t="s">
        <v>468</v>
      </c>
      <c r="C10" s="246"/>
      <c r="D10" s="246"/>
      <c r="E10" s="246"/>
      <c r="F10" s="246"/>
      <c r="G10" s="246"/>
      <c r="H10" s="246"/>
      <c r="I10" s="247" t="s">
        <v>247</v>
      </c>
      <c r="J10" s="247"/>
      <c r="K10" s="247"/>
      <c r="O10" t="s">
        <v>431</v>
      </c>
    </row>
    <row r="11" spans="2:15" ht="15" customHeight="1" x14ac:dyDescent="0.25">
      <c r="B11" s="245" t="s">
        <v>469</v>
      </c>
      <c r="C11" s="246"/>
      <c r="D11" s="246"/>
      <c r="E11" s="246"/>
      <c r="F11" s="246"/>
      <c r="G11" s="246"/>
      <c r="H11" s="252"/>
      <c r="I11" s="248">
        <f>INDEX(town_population[Pop Share of State],MATCH(I10,town_population[Municipality]))</f>
        <v>2.7316646390722239E-3</v>
      </c>
      <c r="J11" s="249"/>
      <c r="K11" s="250"/>
      <c r="O11" t="s">
        <v>433</v>
      </c>
    </row>
    <row r="12" spans="2:15" ht="15" customHeight="1" x14ac:dyDescent="0.25">
      <c r="B12" s="204" t="s">
        <v>507</v>
      </c>
      <c r="C12" s="205"/>
      <c r="D12" s="205"/>
      <c r="E12" s="205"/>
      <c r="F12" s="205"/>
      <c r="G12" s="205"/>
      <c r="H12" s="205"/>
      <c r="I12" s="248">
        <f>INDEX(town_population[Pop Share of Region],MATCH(I10,town_population[Municipality],0))</f>
        <v>2.6527131782945738E-2</v>
      </c>
      <c r="J12" s="249"/>
      <c r="K12" s="250"/>
    </row>
    <row r="13" spans="2:15" ht="15" customHeight="1" x14ac:dyDescent="0.25">
      <c r="B13" s="262" t="s">
        <v>499</v>
      </c>
      <c r="C13" s="263"/>
      <c r="D13" s="263"/>
      <c r="E13" s="263"/>
      <c r="F13" s="263"/>
      <c r="G13" s="263"/>
      <c r="H13" s="263"/>
      <c r="I13" s="263"/>
      <c r="J13" s="263"/>
      <c r="K13" s="264"/>
    </row>
    <row r="14" spans="2:15" ht="15" customHeight="1" x14ac:dyDescent="0.25">
      <c r="B14" s="206" t="s">
        <v>513</v>
      </c>
      <c r="C14" s="207"/>
      <c r="D14" s="207"/>
      <c r="E14" s="207"/>
      <c r="F14" s="207"/>
      <c r="G14" s="207"/>
      <c r="H14" s="207"/>
      <c r="I14" s="259">
        <f>INDEX(town_establishments[share of state establishments],MATCH(I10,town_establishments[Municipality],0))</f>
        <v>2.3631971431572313E-3</v>
      </c>
      <c r="J14" s="260"/>
      <c r="K14" s="261"/>
    </row>
    <row r="15" spans="2:15" ht="15" customHeight="1" x14ac:dyDescent="0.25">
      <c r="B15" s="206" t="s">
        <v>514</v>
      </c>
      <c r="C15" s="207"/>
      <c r="D15" s="207"/>
      <c r="E15" s="207"/>
      <c r="F15" s="207"/>
      <c r="G15" s="207"/>
      <c r="H15" s="207"/>
      <c r="I15" s="248">
        <f>INDEX(town_establishments[share of regional establishments],MATCH(I10,town_establishments[Municipality],0))</f>
        <v>3.0843043180260449E-2</v>
      </c>
      <c r="J15" s="249"/>
      <c r="K15" s="250"/>
    </row>
    <row r="16" spans="2:15" ht="15" customHeight="1" x14ac:dyDescent="0.25">
      <c r="B16" s="262" t="s">
        <v>499</v>
      </c>
      <c r="C16" s="263"/>
      <c r="D16" s="263"/>
      <c r="E16" s="263"/>
      <c r="F16" s="263"/>
      <c r="G16" s="263"/>
      <c r="H16" s="263"/>
      <c r="I16" s="263"/>
      <c r="J16" s="263"/>
      <c r="K16" s="264"/>
    </row>
    <row r="17" spans="1:15" ht="15" customHeight="1" x14ac:dyDescent="0.25">
      <c r="B17" s="197"/>
      <c r="C17" s="198"/>
      <c r="D17" s="198"/>
      <c r="E17" s="198"/>
      <c r="F17" s="198"/>
      <c r="G17" s="198"/>
      <c r="H17" s="198"/>
      <c r="I17" s="191"/>
      <c r="J17" s="191"/>
      <c r="K17" s="200"/>
    </row>
    <row r="18" spans="1:15" x14ac:dyDescent="0.25">
      <c r="B18" s="197" t="s">
        <v>494</v>
      </c>
      <c r="C18" s="195"/>
      <c r="D18" s="195"/>
      <c r="E18" s="195"/>
      <c r="F18" s="195"/>
      <c r="G18" s="195"/>
      <c r="H18" s="195"/>
      <c r="I18" s="195"/>
      <c r="J18" s="195"/>
      <c r="K18" s="196"/>
    </row>
    <row r="19" spans="1:15" x14ac:dyDescent="0.25">
      <c r="B19" s="197" t="s">
        <v>500</v>
      </c>
      <c r="C19" s="195"/>
      <c r="D19" s="195"/>
      <c r="E19" s="195"/>
      <c r="F19" s="195"/>
      <c r="G19" s="195"/>
      <c r="H19" s="195"/>
      <c r="I19" s="195"/>
      <c r="J19" s="195"/>
      <c r="K19" s="196"/>
    </row>
    <row r="20" spans="1:15" ht="15" customHeight="1" x14ac:dyDescent="0.25">
      <c r="B20" s="101"/>
      <c r="C20" s="241" t="s">
        <v>157</v>
      </c>
      <c r="D20" s="241"/>
      <c r="E20" s="241"/>
      <c r="F20" s="241"/>
      <c r="G20" s="241"/>
      <c r="H20" s="241"/>
      <c r="I20" s="201" t="s">
        <v>497</v>
      </c>
      <c r="J20" s="102"/>
      <c r="K20" s="103"/>
    </row>
    <row r="21" spans="1:15" ht="15" customHeight="1" x14ac:dyDescent="0.25">
      <c r="B21" s="101"/>
      <c r="C21" s="241" t="s">
        <v>495</v>
      </c>
      <c r="D21" s="241"/>
      <c r="E21" s="241"/>
      <c r="F21" s="241"/>
      <c r="G21" s="241"/>
      <c r="H21" s="251"/>
      <c r="I21" s="202" t="s">
        <v>496</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53" t="s">
        <v>501</v>
      </c>
      <c r="C23" s="254"/>
      <c r="D23" s="254"/>
      <c r="E23" s="254"/>
      <c r="F23" s="254"/>
      <c r="G23" s="254"/>
      <c r="H23" s="254"/>
      <c r="I23" s="254"/>
      <c r="J23" s="254"/>
      <c r="K23" s="255"/>
      <c r="O23" s="100"/>
    </row>
    <row r="24" spans="1:15" s="177" customFormat="1" x14ac:dyDescent="0.25">
      <c r="A24" s="199"/>
      <c r="B24" s="253"/>
      <c r="C24" s="254"/>
      <c r="D24" s="254"/>
      <c r="E24" s="254"/>
      <c r="F24" s="254"/>
      <c r="G24" s="254"/>
      <c r="H24" s="254"/>
      <c r="I24" s="254"/>
      <c r="J24" s="254"/>
      <c r="K24" s="255"/>
      <c r="O24" s="100"/>
    </row>
    <row r="25" spans="1:15" x14ac:dyDescent="0.25">
      <c r="B25" s="256"/>
      <c r="C25" s="257"/>
      <c r="D25" s="257"/>
      <c r="E25" s="257"/>
      <c r="F25" s="257"/>
      <c r="G25" s="257"/>
      <c r="H25" s="257"/>
      <c r="I25" s="257"/>
      <c r="J25" s="257"/>
      <c r="K25" s="258"/>
    </row>
    <row r="27" spans="1:15" x14ac:dyDescent="0.25">
      <c r="I27"/>
    </row>
  </sheetData>
  <mergeCells count="18">
    <mergeCell ref="C21:H21"/>
    <mergeCell ref="B11:H11"/>
    <mergeCell ref="B23:K25"/>
    <mergeCell ref="C5:K5"/>
    <mergeCell ref="C4:K4"/>
    <mergeCell ref="I12:K12"/>
    <mergeCell ref="I14:K14"/>
    <mergeCell ref="I15:K15"/>
    <mergeCell ref="B16:K16"/>
    <mergeCell ref="B13:K13"/>
    <mergeCell ref="B3:K3"/>
    <mergeCell ref="C20:H20"/>
    <mergeCell ref="D8:K8"/>
    <mergeCell ref="D7:K7"/>
    <mergeCell ref="D6:K6"/>
    <mergeCell ref="B10:H10"/>
    <mergeCell ref="I10:K10"/>
    <mergeCell ref="I11:K11"/>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topLeftCell="A16" zoomScale="70" zoomScaleNormal="70" workbookViewId="0">
      <selection activeCell="D41" sqref="D41"/>
    </sheetView>
  </sheetViews>
  <sheetFormatPr defaultRowHeight="15" x14ac:dyDescent="0.25"/>
  <cols>
    <col min="1" max="1" width="2.5703125" style="32" bestFit="1" customWidth="1"/>
    <col min="2" max="14" width="15.85546875" customWidth="1"/>
  </cols>
  <sheetData>
    <row r="2" spans="1:16" ht="18.75" x14ac:dyDescent="0.3">
      <c r="B2" s="115" t="s">
        <v>482</v>
      </c>
    </row>
    <row r="3" spans="1:16" ht="14.25" customHeight="1" x14ac:dyDescent="0.3">
      <c r="B3" s="51"/>
    </row>
    <row r="5" spans="1:16" ht="36" customHeight="1" x14ac:dyDescent="0.25">
      <c r="B5" s="122">
        <f>SUM(B26,B38)</f>
        <v>88691.012519242431</v>
      </c>
      <c r="C5" s="269" t="s">
        <v>481</v>
      </c>
      <c r="D5" s="266"/>
      <c r="E5" s="266"/>
      <c r="F5" s="266"/>
      <c r="G5" s="266"/>
      <c r="H5" s="266"/>
      <c r="I5" s="266"/>
      <c r="J5" s="266"/>
      <c r="K5" s="266"/>
      <c r="L5" s="266"/>
      <c r="M5" s="266"/>
      <c r="N5" s="266"/>
    </row>
    <row r="7" spans="1:16" x14ac:dyDescent="0.25">
      <c r="C7" s="53" t="s">
        <v>70</v>
      </c>
    </row>
    <row r="8" spans="1:16" x14ac:dyDescent="0.25">
      <c r="C8" s="25"/>
    </row>
    <row r="9" spans="1:16" ht="36" customHeight="1" x14ac:dyDescent="0.25">
      <c r="A9" s="32">
        <v>1</v>
      </c>
      <c r="B9" s="116">
        <v>1181</v>
      </c>
      <c r="C9" s="270" t="s">
        <v>483</v>
      </c>
      <c r="D9" s="266"/>
      <c r="E9" s="266"/>
      <c r="F9" s="266"/>
      <c r="G9" s="266"/>
      <c r="H9" s="266"/>
      <c r="I9" s="266"/>
      <c r="J9" s="266"/>
      <c r="K9" s="266"/>
      <c r="L9" s="266"/>
      <c r="M9" s="266"/>
      <c r="N9" s="266"/>
    </row>
    <row r="10" spans="1:16" ht="36" customHeight="1" x14ac:dyDescent="0.25">
      <c r="B10" s="21"/>
      <c r="C10" s="31"/>
      <c r="D10" s="125" t="s">
        <v>60</v>
      </c>
      <c r="E10" s="271" t="s">
        <v>64</v>
      </c>
      <c r="F10" s="271"/>
      <c r="G10" s="267" t="s">
        <v>61</v>
      </c>
      <c r="H10" s="267"/>
      <c r="I10" s="267"/>
      <c r="J10" s="267"/>
      <c r="K10" s="267"/>
      <c r="L10" s="267"/>
      <c r="M10" s="267"/>
      <c r="N10" s="267"/>
    </row>
    <row r="11" spans="1:16" ht="36" customHeight="1" x14ac:dyDescent="0.25">
      <c r="B11" s="21"/>
      <c r="C11" s="31"/>
      <c r="D11" s="125"/>
      <c r="E11" s="267" t="s">
        <v>65</v>
      </c>
      <c r="F11" s="267"/>
      <c r="G11" s="267" t="s">
        <v>170</v>
      </c>
      <c r="H11" s="267"/>
      <c r="I11" s="267"/>
      <c r="J11" s="267"/>
      <c r="K11" s="267"/>
      <c r="L11" s="267"/>
      <c r="M11" s="267"/>
      <c r="N11" s="267"/>
    </row>
    <row r="12" spans="1:16" ht="36" customHeight="1" x14ac:dyDescent="0.25">
      <c r="B12" s="21"/>
      <c r="C12" s="31"/>
      <c r="D12" s="125" t="s">
        <v>62</v>
      </c>
      <c r="E12" s="267" t="s">
        <v>63</v>
      </c>
      <c r="F12" s="267"/>
      <c r="G12" s="267"/>
      <c r="H12" s="267"/>
      <c r="I12" s="267"/>
      <c r="J12" s="267"/>
      <c r="K12" s="267"/>
      <c r="L12" s="267"/>
      <c r="M12" s="267"/>
      <c r="N12" s="267"/>
    </row>
    <row r="13" spans="1:16" ht="36" customHeight="1" x14ac:dyDescent="0.25">
      <c r="A13" s="32">
        <v>2</v>
      </c>
      <c r="B13" s="116">
        <v>14000</v>
      </c>
      <c r="C13" s="265" t="s">
        <v>484</v>
      </c>
      <c r="D13" s="266"/>
      <c r="E13" s="266"/>
      <c r="F13" s="266"/>
      <c r="G13" s="266"/>
      <c r="H13" s="266"/>
      <c r="I13" s="266"/>
      <c r="J13" s="266"/>
      <c r="K13" s="266"/>
      <c r="L13" s="266"/>
      <c r="M13" s="266"/>
      <c r="N13" s="266"/>
      <c r="O13" s="34">
        <f>B13/12500</f>
        <v>1.1200000000000001</v>
      </c>
      <c r="P13" s="184" t="s">
        <v>544</v>
      </c>
    </row>
    <row r="14" spans="1:16" ht="36" customHeight="1" x14ac:dyDescent="0.25">
      <c r="A14" s="32">
        <v>3</v>
      </c>
      <c r="B14" s="116">
        <v>22</v>
      </c>
      <c r="C14" s="265" t="s">
        <v>485</v>
      </c>
      <c r="D14" s="266"/>
      <c r="E14" s="266"/>
      <c r="F14" s="266"/>
      <c r="G14" s="266"/>
      <c r="H14" s="266"/>
      <c r="I14" s="266"/>
      <c r="J14" s="266"/>
      <c r="K14" s="266"/>
      <c r="L14" s="266"/>
      <c r="M14" s="266"/>
      <c r="N14" s="266"/>
    </row>
    <row r="15" spans="1:16" s="118" customFormat="1" ht="36" customHeight="1" x14ac:dyDescent="0.25">
      <c r="A15" s="117"/>
      <c r="D15" s="119">
        <v>0.4</v>
      </c>
      <c r="E15" s="266" t="s">
        <v>172</v>
      </c>
      <c r="F15" s="266"/>
      <c r="G15" s="266"/>
      <c r="H15" s="266"/>
      <c r="I15" s="266"/>
      <c r="J15" s="266"/>
      <c r="K15" s="266"/>
      <c r="L15" s="266"/>
      <c r="M15" s="266"/>
      <c r="N15" s="266"/>
    </row>
    <row r="16" spans="1:16" s="118" customFormat="1" ht="36" customHeight="1" x14ac:dyDescent="0.25">
      <c r="A16" s="117"/>
      <c r="D16" s="119">
        <f>150000/583770</f>
        <v>0.25695051133151753</v>
      </c>
      <c r="E16" s="266" t="s">
        <v>173</v>
      </c>
      <c r="F16" s="266"/>
      <c r="G16" s="266"/>
      <c r="H16" s="266"/>
      <c r="I16" s="266"/>
      <c r="J16" s="266"/>
      <c r="K16" s="266"/>
      <c r="L16" s="266"/>
      <c r="M16" s="266"/>
      <c r="N16" s="266"/>
    </row>
    <row r="17" spans="1:14" s="118" customFormat="1" ht="36" customHeight="1" x14ac:dyDescent="0.25">
      <c r="A17" s="117"/>
      <c r="D17" s="119">
        <v>0.86</v>
      </c>
      <c r="E17" s="266" t="s">
        <v>171</v>
      </c>
      <c r="F17" s="266"/>
      <c r="G17" s="266"/>
      <c r="H17" s="266"/>
      <c r="I17" s="266"/>
      <c r="J17" s="266"/>
      <c r="K17" s="266"/>
      <c r="L17" s="266"/>
      <c r="M17" s="266"/>
      <c r="N17" s="266"/>
    </row>
    <row r="18" spans="1:14" ht="36" customHeight="1" x14ac:dyDescent="0.25">
      <c r="B18" s="120">
        <f>B9*B13/B14</f>
        <v>751545.45454545459</v>
      </c>
      <c r="C18" s="267" t="s">
        <v>43</v>
      </c>
      <c r="D18" s="267"/>
      <c r="E18" s="267"/>
      <c r="F18" s="267"/>
      <c r="G18" s="267"/>
      <c r="H18" s="267"/>
      <c r="I18" s="267"/>
      <c r="J18" s="267"/>
      <c r="K18" s="267"/>
      <c r="L18" s="267"/>
      <c r="M18" s="267"/>
      <c r="N18" s="267"/>
    </row>
    <row r="19" spans="1:14" ht="36" customHeight="1" x14ac:dyDescent="0.25">
      <c r="A19" s="32">
        <v>4</v>
      </c>
      <c r="B19" s="121">
        <v>0.09</v>
      </c>
      <c r="C19" s="265" t="s">
        <v>486</v>
      </c>
      <c r="D19" s="266"/>
      <c r="E19" s="266"/>
      <c r="F19" s="266"/>
      <c r="G19" s="266"/>
      <c r="H19" s="266"/>
      <c r="I19" s="266"/>
      <c r="J19" s="266"/>
      <c r="K19" s="266"/>
      <c r="L19" s="266"/>
      <c r="M19" s="266"/>
      <c r="N19" s="266"/>
    </row>
    <row r="20" spans="1:14" ht="36" customHeight="1" x14ac:dyDescent="0.25">
      <c r="B20" s="120">
        <f>(1-B19)*B18</f>
        <v>683906.36363636365</v>
      </c>
      <c r="C20" s="266" t="s">
        <v>73</v>
      </c>
      <c r="D20" s="266"/>
      <c r="E20" s="266"/>
      <c r="F20" s="266"/>
      <c r="G20" s="266"/>
      <c r="H20" s="266"/>
      <c r="I20" s="266"/>
      <c r="J20" s="266"/>
      <c r="K20" s="266"/>
      <c r="L20" s="266"/>
      <c r="M20" s="266"/>
      <c r="N20" s="266"/>
    </row>
    <row r="21" spans="1:14" ht="36" customHeight="1" x14ac:dyDescent="0.25">
      <c r="B21" s="120">
        <f>fossilBtu</f>
        <v>121258.5</v>
      </c>
      <c r="C21" s="266" t="s">
        <v>174</v>
      </c>
      <c r="D21" s="266"/>
      <c r="E21" s="266"/>
      <c r="F21" s="266"/>
      <c r="G21" s="266"/>
      <c r="H21" s="266"/>
      <c r="I21" s="266"/>
      <c r="J21" s="266"/>
      <c r="K21" s="266"/>
      <c r="L21" s="266"/>
      <c r="M21" s="266"/>
      <c r="N21" s="266"/>
    </row>
    <row r="22" spans="1:14" ht="36" customHeight="1" x14ac:dyDescent="0.25">
      <c r="B22" s="120">
        <f>B20*B21/1000000</f>
        <v>82929.459795000002</v>
      </c>
      <c r="C22" s="266" t="s">
        <v>66</v>
      </c>
      <c r="D22" s="266"/>
      <c r="E22" s="266"/>
      <c r="F22" s="266"/>
      <c r="G22" s="266"/>
      <c r="H22" s="266"/>
      <c r="I22" s="266"/>
      <c r="J22" s="266"/>
      <c r="K22" s="266"/>
      <c r="L22" s="266"/>
      <c r="M22" s="266"/>
      <c r="N22" s="266"/>
    </row>
    <row r="23" spans="1:14" ht="36" customHeight="1" x14ac:dyDescent="0.25">
      <c r="B23" s="120">
        <f>B18-B20</f>
        <v>67639.090909090941</v>
      </c>
      <c r="C23" s="266" t="s">
        <v>67</v>
      </c>
      <c r="D23" s="266"/>
      <c r="E23" s="266"/>
      <c r="F23" s="266"/>
      <c r="G23" s="266"/>
      <c r="H23" s="266"/>
      <c r="I23" s="266"/>
      <c r="J23" s="266"/>
      <c r="K23" s="266"/>
      <c r="L23" s="266"/>
      <c r="M23" s="266"/>
      <c r="N23" s="266"/>
    </row>
    <row r="24" spans="1:14" ht="36" customHeight="1" x14ac:dyDescent="0.25">
      <c r="B24" s="120">
        <v>84710</v>
      </c>
      <c r="C24" s="266" t="s">
        <v>68</v>
      </c>
      <c r="D24" s="266"/>
      <c r="E24" s="266"/>
      <c r="F24" s="266"/>
      <c r="G24" s="266"/>
      <c r="H24" s="266"/>
      <c r="I24" s="266"/>
      <c r="J24" s="266"/>
      <c r="K24" s="266"/>
      <c r="L24" s="266"/>
      <c r="M24" s="266"/>
      <c r="N24" s="266"/>
    </row>
    <row r="25" spans="1:14" ht="36" customHeight="1" x14ac:dyDescent="0.25">
      <c r="B25" s="120">
        <f>B23*B24/1000000</f>
        <v>5729.7073909090941</v>
      </c>
      <c r="C25" s="266" t="s">
        <v>69</v>
      </c>
      <c r="D25" s="266"/>
      <c r="E25" s="266"/>
      <c r="F25" s="266"/>
      <c r="G25" s="266"/>
      <c r="H25" s="266"/>
      <c r="I25" s="266"/>
      <c r="J25" s="266"/>
      <c r="K25" s="266"/>
      <c r="L25" s="266"/>
      <c r="M25" s="266"/>
      <c r="N25" s="266"/>
    </row>
    <row r="26" spans="1:14" ht="36" customHeight="1" x14ac:dyDescent="0.25">
      <c r="B26" s="122">
        <f>B22+B25</f>
        <v>88659.1671859091</v>
      </c>
      <c r="C26" s="269" t="s">
        <v>71</v>
      </c>
      <c r="D26" s="266"/>
      <c r="E26" s="266"/>
      <c r="F26" s="266"/>
      <c r="G26" s="266"/>
      <c r="H26" s="266"/>
      <c r="I26" s="266"/>
      <c r="J26" s="266"/>
      <c r="K26" s="266"/>
      <c r="L26" s="266"/>
      <c r="M26" s="266"/>
      <c r="N26" s="266"/>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4</v>
      </c>
      <c r="C32" s="265" t="s">
        <v>502</v>
      </c>
      <c r="D32" s="266"/>
      <c r="E32" s="266"/>
      <c r="F32" s="266"/>
      <c r="G32" s="266"/>
      <c r="H32" s="266"/>
      <c r="I32" s="266"/>
      <c r="J32" s="266"/>
      <c r="K32" s="266"/>
      <c r="L32" s="266"/>
      <c r="M32" s="266"/>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67" t="s">
        <v>78</v>
      </c>
      <c r="D34" s="267"/>
      <c r="E34" s="267"/>
      <c r="F34" s="267"/>
      <c r="G34" s="267"/>
      <c r="H34" s="267"/>
      <c r="I34" s="267"/>
      <c r="J34" s="267"/>
      <c r="K34" s="267"/>
      <c r="L34" s="267"/>
      <c r="M34" s="267"/>
      <c r="N34" s="267"/>
    </row>
    <row r="35" spans="2:14" ht="36" customHeight="1" x14ac:dyDescent="0.25">
      <c r="B35" s="120">
        <v>3</v>
      </c>
      <c r="C35" s="267" t="s">
        <v>74</v>
      </c>
      <c r="D35" s="267"/>
      <c r="E35" s="267"/>
      <c r="F35" s="267"/>
      <c r="G35" s="267"/>
      <c r="H35" s="267"/>
      <c r="I35" s="267"/>
      <c r="J35" s="267"/>
      <c r="K35" s="267"/>
      <c r="L35" s="267"/>
      <c r="M35" s="267"/>
      <c r="N35" s="267"/>
    </row>
    <row r="36" spans="2:14" ht="36" customHeight="1" x14ac:dyDescent="0.25">
      <c r="B36" s="120">
        <f>B32*B34/B35</f>
        <v>9333.3333333333339</v>
      </c>
      <c r="C36" s="267" t="s">
        <v>72</v>
      </c>
      <c r="D36" s="267"/>
      <c r="E36" s="267"/>
      <c r="F36" s="267"/>
      <c r="G36" s="267"/>
      <c r="H36" s="267"/>
      <c r="I36" s="267"/>
      <c r="J36" s="267"/>
      <c r="K36" s="267"/>
      <c r="L36" s="267"/>
      <c r="M36" s="267"/>
      <c r="N36" s="267"/>
    </row>
    <row r="37" spans="2:14" ht="36" customHeight="1" x14ac:dyDescent="0.25">
      <c r="B37" s="120">
        <v>3412</v>
      </c>
      <c r="C37" s="267" t="s">
        <v>176</v>
      </c>
      <c r="D37" s="267"/>
      <c r="E37" s="267"/>
      <c r="F37" s="267"/>
      <c r="G37" s="267"/>
      <c r="H37" s="267"/>
      <c r="I37" s="267"/>
      <c r="J37" s="267"/>
      <c r="K37" s="267"/>
      <c r="L37" s="267"/>
      <c r="M37" s="267"/>
      <c r="N37" s="267"/>
    </row>
    <row r="38" spans="2:14" ht="36" customHeight="1" x14ac:dyDescent="0.25">
      <c r="B38" s="122">
        <f>B36*B37/1000000</f>
        <v>31.845333333333336</v>
      </c>
      <c r="C38" s="268" t="s">
        <v>75</v>
      </c>
      <c r="D38" s="267"/>
      <c r="E38" s="267"/>
      <c r="F38" s="267"/>
      <c r="G38" s="267"/>
      <c r="H38" s="267"/>
      <c r="I38" s="267"/>
      <c r="J38" s="267"/>
      <c r="K38" s="267"/>
      <c r="L38" s="267"/>
      <c r="M38" s="267"/>
      <c r="N38" s="267"/>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5:N5"/>
    <mergeCell ref="C18:N18"/>
    <mergeCell ref="C9:N9"/>
    <mergeCell ref="E10:F10"/>
    <mergeCell ref="E11:F11"/>
    <mergeCell ref="G11:N11"/>
    <mergeCell ref="G10:N10"/>
    <mergeCell ref="E12:N12"/>
    <mergeCell ref="C13:N13"/>
    <mergeCell ref="C14:N14"/>
    <mergeCell ref="E16:N16"/>
    <mergeCell ref="E17:N17"/>
    <mergeCell ref="E15:N15"/>
    <mergeCell ref="C19:N19"/>
    <mergeCell ref="C26:N26"/>
    <mergeCell ref="C25:N25"/>
    <mergeCell ref="C24:N24"/>
    <mergeCell ref="C23:N23"/>
    <mergeCell ref="C22:N22"/>
    <mergeCell ref="C21:N21"/>
    <mergeCell ref="C20:N20"/>
    <mergeCell ref="C32:M32"/>
    <mergeCell ref="C34:N34"/>
    <mergeCell ref="C38:N38"/>
    <mergeCell ref="C37:N37"/>
    <mergeCell ref="C36:N36"/>
    <mergeCell ref="C35:N3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tabSelected="1" topLeftCell="A2" zoomScale="70" zoomScaleNormal="70" workbookViewId="0">
      <selection activeCell="B18" sqref="B18"/>
    </sheetView>
  </sheetViews>
  <sheetFormatPr defaultRowHeight="15" x14ac:dyDescent="0.25"/>
  <cols>
    <col min="1" max="1" width="2.5703125" style="54" bestFit="1" customWidth="1"/>
    <col min="2" max="14" width="14.5703125" customWidth="1"/>
  </cols>
  <sheetData>
    <row r="1" spans="1:15" ht="21" x14ac:dyDescent="0.35">
      <c r="A1" s="56"/>
      <c r="B1" s="52" t="s">
        <v>487</v>
      </c>
    </row>
    <row r="2" spans="1:15" x14ac:dyDescent="0.25">
      <c r="A2" s="56"/>
      <c r="B2" s="53"/>
    </row>
    <row r="3" spans="1:15" x14ac:dyDescent="0.25">
      <c r="A3" s="56"/>
    </row>
    <row r="4" spans="1:15" ht="42.75" customHeight="1" x14ac:dyDescent="0.25">
      <c r="A4" s="56"/>
      <c r="B4" s="55">
        <f ca="1">SUM(B18,B43)</f>
        <v>108940.35557089056</v>
      </c>
      <c r="C4" s="269" t="s">
        <v>91</v>
      </c>
      <c r="D4" s="266"/>
      <c r="E4" s="266"/>
      <c r="F4" s="266"/>
      <c r="G4" s="266"/>
      <c r="H4" s="266"/>
      <c r="I4" s="266"/>
      <c r="J4" s="266"/>
      <c r="K4" s="266"/>
      <c r="L4" s="266"/>
      <c r="M4" s="266"/>
      <c r="N4" s="266"/>
    </row>
    <row r="5" spans="1:15" x14ac:dyDescent="0.25">
      <c r="A5" s="56"/>
      <c r="B5" s="54"/>
    </row>
    <row r="6" spans="1:15" ht="18.75" x14ac:dyDescent="0.3">
      <c r="B6" s="54"/>
      <c r="C6" s="51" t="s">
        <v>80</v>
      </c>
    </row>
    <row r="7" spans="1:15" x14ac:dyDescent="0.25">
      <c r="B7" s="54"/>
      <c r="C7" s="25"/>
    </row>
    <row r="8" spans="1:15" ht="42.75" customHeight="1" x14ac:dyDescent="0.25">
      <c r="A8" s="54">
        <v>1</v>
      </c>
      <c r="B8" s="36">
        <v>605</v>
      </c>
      <c r="C8" s="275" t="s">
        <v>79</v>
      </c>
      <c r="D8" s="267"/>
      <c r="E8" s="267"/>
      <c r="F8" s="267"/>
      <c r="G8" s="267"/>
      <c r="H8" s="267"/>
      <c r="I8" s="267"/>
      <c r="J8" s="267"/>
      <c r="K8" s="267"/>
      <c r="L8" s="267"/>
      <c r="M8" s="267"/>
      <c r="N8" s="267"/>
    </row>
    <row r="9" spans="1:15" ht="42.75" customHeight="1" x14ac:dyDescent="0.25">
      <c r="B9" s="56"/>
      <c r="C9" s="26"/>
      <c r="D9" s="57" t="s">
        <v>92</v>
      </c>
      <c r="E9" s="274" t="s">
        <v>64</v>
      </c>
      <c r="F9" s="274"/>
      <c r="G9" s="267" t="s">
        <v>81</v>
      </c>
      <c r="H9" s="267"/>
      <c r="I9" s="267"/>
      <c r="J9" s="267"/>
      <c r="K9" s="267"/>
      <c r="L9" s="267"/>
      <c r="M9" s="267"/>
      <c r="N9" s="267"/>
    </row>
    <row r="10" spans="1:15" ht="52.5" customHeight="1" x14ac:dyDescent="0.25">
      <c r="A10" s="54">
        <v>2</v>
      </c>
      <c r="B10" s="36">
        <v>133.85</v>
      </c>
      <c r="C10" s="279" t="s">
        <v>543</v>
      </c>
      <c r="D10" s="276"/>
      <c r="E10" s="276"/>
      <c r="F10" s="276"/>
      <c r="G10" s="276"/>
      <c r="H10" s="276"/>
      <c r="I10" s="276"/>
      <c r="J10" s="276"/>
      <c r="K10" s="276"/>
      <c r="L10" s="276"/>
      <c r="M10" s="276"/>
      <c r="N10" s="276"/>
      <c r="O10" s="212">
        <f>SUM('2.Heat Targets'!E58,'2.Heat Targets'!E61,'2.Heat Targets'!E64,'2.Heat Targets'!E67)</f>
        <v>0.8195625616611375</v>
      </c>
    </row>
    <row r="11" spans="1:15" ht="42.75" customHeight="1" x14ac:dyDescent="0.25">
      <c r="B11" s="54"/>
      <c r="C11" s="59"/>
      <c r="D11" s="33" t="s">
        <v>58</v>
      </c>
      <c r="E11" s="276" t="s">
        <v>86</v>
      </c>
      <c r="F11" s="276"/>
      <c r="G11" s="276"/>
      <c r="H11" s="276"/>
      <c r="I11" s="276"/>
      <c r="J11" s="276"/>
      <c r="K11" s="276"/>
      <c r="L11" s="276"/>
      <c r="M11" s="276"/>
      <c r="N11" s="276"/>
    </row>
    <row r="12" spans="1:15" ht="42.75" customHeight="1" x14ac:dyDescent="0.25">
      <c r="B12" s="56"/>
      <c r="C12" s="60"/>
      <c r="D12" s="34">
        <v>0.26</v>
      </c>
      <c r="E12" s="276" t="s">
        <v>83</v>
      </c>
      <c r="F12" s="276"/>
      <c r="G12" s="276"/>
      <c r="H12" s="276"/>
      <c r="I12" s="276"/>
      <c r="J12" s="276"/>
      <c r="K12" s="276"/>
      <c r="L12" s="276"/>
      <c r="M12" s="276"/>
      <c r="N12" s="276"/>
    </row>
    <row r="13" spans="1:15" ht="42.75" customHeight="1" x14ac:dyDescent="0.25">
      <c r="B13" s="56"/>
      <c r="C13" s="60"/>
      <c r="D13" s="34">
        <v>0.5</v>
      </c>
      <c r="E13" s="276" t="s">
        <v>84</v>
      </c>
      <c r="F13" s="276"/>
      <c r="G13" s="276"/>
      <c r="H13" s="276"/>
      <c r="I13" s="276"/>
      <c r="J13" s="276"/>
      <c r="K13" s="276"/>
      <c r="L13" s="276"/>
      <c r="M13" s="276"/>
      <c r="N13" s="276"/>
    </row>
    <row r="14" spans="1:15" ht="42.75" customHeight="1" x14ac:dyDescent="0.25">
      <c r="B14" s="56"/>
      <c r="C14" s="60"/>
      <c r="D14" s="34">
        <v>0.2</v>
      </c>
      <c r="E14" s="276" t="s">
        <v>85</v>
      </c>
      <c r="F14" s="276"/>
      <c r="G14" s="276"/>
      <c r="H14" s="276"/>
      <c r="I14" s="276"/>
      <c r="J14" s="276"/>
      <c r="K14" s="276"/>
      <c r="L14" s="276"/>
      <c r="M14" s="276"/>
      <c r="N14" s="276"/>
    </row>
    <row r="15" spans="1:15" ht="42.75" customHeight="1" x14ac:dyDescent="0.25">
      <c r="B15" s="56"/>
      <c r="C15" s="60"/>
      <c r="D15" s="35">
        <v>2.2999999999999998</v>
      </c>
      <c r="E15" s="276" t="s">
        <v>87</v>
      </c>
      <c r="F15" s="276"/>
      <c r="G15" s="276"/>
      <c r="H15" s="276"/>
      <c r="I15" s="276"/>
      <c r="J15" s="276"/>
      <c r="K15" s="276"/>
      <c r="L15" s="276"/>
      <c r="M15" s="276"/>
      <c r="N15" s="276"/>
    </row>
    <row r="16" spans="1:15" ht="42.75" customHeight="1" x14ac:dyDescent="0.25">
      <c r="B16" s="56"/>
      <c r="C16" s="60"/>
      <c r="D16" s="34">
        <f>(20000*1.25)/257000</f>
        <v>9.727626459143969E-2</v>
      </c>
      <c r="E16" s="276" t="s">
        <v>93</v>
      </c>
      <c r="F16" s="276"/>
      <c r="G16" s="276"/>
      <c r="H16" s="276"/>
      <c r="I16" s="276"/>
      <c r="J16" s="276"/>
      <c r="K16" s="276"/>
      <c r="L16" s="276"/>
      <c r="M16" s="276"/>
      <c r="N16" s="276"/>
    </row>
    <row r="17" spans="1:17" x14ac:dyDescent="0.25">
      <c r="B17" s="56"/>
      <c r="C17" s="27"/>
      <c r="F17" s="26"/>
      <c r="G17" s="27"/>
      <c r="H17" s="27"/>
      <c r="I17" s="27"/>
      <c r="J17" s="27"/>
      <c r="K17" s="27"/>
      <c r="L17" s="27"/>
    </row>
    <row r="18" spans="1:17" ht="42.75" customHeight="1" x14ac:dyDescent="0.25">
      <c r="B18" s="55">
        <f>B8*B10</f>
        <v>80979.25</v>
      </c>
      <c r="C18" s="268" t="s">
        <v>90</v>
      </c>
      <c r="D18" s="267"/>
      <c r="E18" s="267"/>
      <c r="F18" s="267"/>
      <c r="G18" s="267"/>
      <c r="H18" s="267"/>
      <c r="I18" s="267"/>
      <c r="J18" s="267"/>
      <c r="K18" s="267"/>
      <c r="L18" s="267"/>
      <c r="M18" s="267"/>
      <c r="N18" s="267"/>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f ca="1">K41</f>
        <v>45</v>
      </c>
      <c r="C22" s="270" t="s">
        <v>540</v>
      </c>
      <c r="D22" s="266"/>
      <c r="E22" s="266"/>
      <c r="F22" s="266"/>
      <c r="G22" s="266"/>
      <c r="H22" s="266"/>
      <c r="I22" s="266"/>
      <c r="J22" s="266"/>
      <c r="K22" s="266"/>
      <c r="L22" s="266"/>
      <c r="M22" s="266"/>
      <c r="N22" s="266"/>
    </row>
    <row r="23" spans="1:17" s="58" customFormat="1" ht="32.25" customHeight="1" x14ac:dyDescent="0.25">
      <c r="A23" s="54"/>
      <c r="B23" s="54"/>
      <c r="D23" s="58" t="s">
        <v>60</v>
      </c>
      <c r="E23" s="28" t="s">
        <v>88</v>
      </c>
      <c r="G23" s="58" t="s">
        <v>89</v>
      </c>
    </row>
    <row r="24" spans="1:17" ht="78" customHeight="1" x14ac:dyDescent="0.25">
      <c r="A24" s="54">
        <v>2</v>
      </c>
      <c r="B24" s="36">
        <f ca="1">L41</f>
        <v>621.35790157534564</v>
      </c>
      <c r="C24" s="272" t="s">
        <v>541</v>
      </c>
      <c r="D24" s="273"/>
      <c r="E24" s="273"/>
      <c r="F24" s="273"/>
      <c r="G24" s="273"/>
      <c r="H24" s="273"/>
      <c r="I24" s="273"/>
      <c r="J24" s="273"/>
      <c r="K24" s="273"/>
      <c r="L24" s="273"/>
      <c r="M24" s="273"/>
      <c r="N24" s="273"/>
      <c r="O24" s="212">
        <f ca="1">SUM('2.Heat Targets'!E76,'2.Heat Targets'!E79,'2.Heat Targets'!E82,'2.Heat Targets'!E85)</f>
        <v>0.79824568888128034</v>
      </c>
    </row>
    <row r="25" spans="1:17" x14ac:dyDescent="0.25">
      <c r="B25" s="54"/>
    </row>
    <row r="26" spans="1:17" ht="54" customHeight="1" x14ac:dyDescent="0.25">
      <c r="B26" s="54"/>
      <c r="D26" s="37" t="s">
        <v>59</v>
      </c>
      <c r="E26" s="49" t="s">
        <v>95</v>
      </c>
      <c r="F26" s="49" t="s">
        <v>471</v>
      </c>
      <c r="G26" s="49" t="s">
        <v>94</v>
      </c>
      <c r="H26" s="49" t="s">
        <v>532</v>
      </c>
      <c r="I26" s="49" t="s">
        <v>533</v>
      </c>
      <c r="J26" s="49" t="s">
        <v>534</v>
      </c>
      <c r="K26" s="49" t="s">
        <v>535</v>
      </c>
      <c r="L26" s="50" t="s">
        <v>536</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f ca="1">INDEX(OFFSET(town_establishments[42. Wholesale trade],,C27-$C$27),MATCH(selected_town,town_establishments[Municipality],0),)</f>
        <v>8</v>
      </c>
      <c r="L27" s="39">
        <f t="shared" ref="L27:L40" ca="1" si="1">IF(K27="","",K27/$K$41)</f>
        <v>0.17777777777777778</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f ca="1">INDEX(OFFSET(town_establishments[42. Wholesale trade],,C28-$C$27),MATCH(selected_town,town_establishments[Municipality],0),)</f>
        <v>7</v>
      </c>
      <c r="L28" s="41">
        <f t="shared" ca="1" si="1"/>
        <v>0.15555555555555556</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f ca="1">INDEX(OFFSET(town_establishments[42. Wholesale trade],,C29-$C$27),MATCH(selected_town,town_establishments[Municipality],0),)</f>
        <v>1</v>
      </c>
      <c r="L29" s="41">
        <f t="shared" ca="1" si="1"/>
        <v>2.2222222222222223E-2</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f ca="1">INDEX(OFFSET(town_establishments[42. Wholesale trade],,C30-$C$27),MATCH(selected_town,town_establishments[Municipality],0),)</f>
        <v>0</v>
      </c>
      <c r="L30" s="41">
        <f t="shared" ca="1" si="1"/>
        <v>0</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f ca="1">INDEX(OFFSET(town_establishments[42. Wholesale trade],,C31-$C$27),MATCH(selected_town,town_establishments[Municipality],0),)</f>
        <v>0</v>
      </c>
      <c r="L31" s="41">
        <f t="shared" ca="1" si="1"/>
        <v>0</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f ca="1">INDEX(OFFSET(town_establishments[42. Wholesale trade],,C32-$C$27),MATCH(selected_town,town_establishments[Municipality],0),)</f>
        <v>3</v>
      </c>
      <c r="L32" s="41">
        <f t="shared" ca="1" si="1"/>
        <v>6.6666666666666666E-2</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f ca="1">INDEX(OFFSET(town_establishments[42. Wholesale trade],,C33-$C$27),MATCH(selected_town,town_establishments[Municipality],0),)</f>
        <v>6</v>
      </c>
      <c r="L33" s="41">
        <f t="shared" ca="1" si="1"/>
        <v>0.13333333333333333</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f ca="1">INDEX(OFFSET(town_establishments[42. Wholesale trade],,C34-$C$27),MATCH(selected_town,town_establishments[Municipality],0),)</f>
        <v>0</v>
      </c>
      <c r="L34" s="41">
        <f t="shared" ca="1" si="1"/>
        <v>0</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f ca="1">INDEX(OFFSET(town_establishments[42. Wholesale trade],,C35-$C$27),MATCH(selected_town,town_establishments[Municipality],0),)</f>
        <v>4</v>
      </c>
      <c r="L35" s="41">
        <f t="shared" ca="1" si="1"/>
        <v>8.8888888888888892E-2</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f ca="1">INDEX(OFFSET(town_establishments[42. Wholesale trade],,C36-$C$27),MATCH(selected_town,town_establishments[Municipality],0),)</f>
        <v>2</v>
      </c>
      <c r="L36" s="41">
        <f t="shared" ca="1" si="1"/>
        <v>4.4444444444444446E-2</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f ca="1">INDEX(OFFSET(town_establishments[42. Wholesale trade],,C37-$C$27),MATCH(selected_town,town_establishments[Municipality],0),)</f>
        <v>0</v>
      </c>
      <c r="L37" s="41">
        <f t="shared" ca="1" si="1"/>
        <v>0</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f ca="1">INDEX(OFFSET(town_establishments[42. Wholesale trade],,C38-$C$27),MATCH(selected_town,town_establishments[Municipality],0),)</f>
        <v>1</v>
      </c>
      <c r="L38" s="41">
        <f t="shared" ca="1" si="1"/>
        <v>2.2222222222222223E-2</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f ca="1">INDEX(OFFSET(town_establishments[42. Wholesale trade],,C39-$C$27),MATCH(selected_town,town_establishments[Municipality],0),)</f>
        <v>8</v>
      </c>
      <c r="L39" s="41">
        <f t="shared" ca="1" si="1"/>
        <v>0.17777777777777778</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f ca="1">INDEX(OFFSET(town_establishments[42. Wholesale trade],,C40-$C$27),MATCH(selected_town,town_establishments[Municipality],0),)</f>
        <v>5</v>
      </c>
      <c r="L40" s="41">
        <f t="shared" ca="1" si="1"/>
        <v>0.1111111111111111</v>
      </c>
      <c r="Q40" s="23"/>
    </row>
    <row r="41" spans="2:19" ht="33" customHeight="1" x14ac:dyDescent="0.25">
      <c r="B41" s="54"/>
      <c r="D41" s="42"/>
      <c r="E41" s="185">
        <f>SUM(E27:E40)</f>
        <v>18617</v>
      </c>
      <c r="F41" s="185"/>
      <c r="G41" s="185">
        <f>SUM(G27:G40)</f>
        <v>201453</v>
      </c>
      <c r="H41" s="43"/>
      <c r="I41" s="44">
        <v>13000000</v>
      </c>
      <c r="J41" s="43"/>
      <c r="K41" s="185">
        <f ca="1">SUM(K27:K40)</f>
        <v>45</v>
      </c>
      <c r="L41" s="45">
        <f ca="1">SUMPRODUCT(J27:J40,L27:L40)</f>
        <v>621.35790157534564</v>
      </c>
      <c r="M41" s="277" t="s">
        <v>542</v>
      </c>
      <c r="N41" s="278"/>
      <c r="O41" s="278"/>
      <c r="P41" s="278"/>
      <c r="Q41" s="278"/>
      <c r="R41" s="278"/>
      <c r="S41" s="278"/>
    </row>
    <row r="42" spans="2:19" ht="22.5" customHeight="1" x14ac:dyDescent="0.25">
      <c r="B42" s="54"/>
    </row>
    <row r="43" spans="2:19" ht="37.5" customHeight="1" x14ac:dyDescent="0.25">
      <c r="B43" s="55">
        <f ca="1">B22*B24</f>
        <v>27961.105570890555</v>
      </c>
      <c r="C43" s="268" t="s">
        <v>488</v>
      </c>
      <c r="D43" s="267"/>
      <c r="E43" s="267"/>
      <c r="F43" s="267"/>
      <c r="G43" s="267"/>
      <c r="H43" s="267"/>
      <c r="I43" s="267"/>
      <c r="J43" s="267"/>
      <c r="K43" s="267"/>
      <c r="L43" s="267"/>
      <c r="M43" s="267"/>
      <c r="N43" s="267"/>
    </row>
    <row r="45" spans="2:19" ht="37.5" customHeight="1" x14ac:dyDescent="0.25">
      <c r="B45" s="194">
        <f ca="1">SUMPRODUCT(K27:K40,H27:H40)/SUMPRODUCT(E27:E40,H27:H40)</f>
        <v>2.1875293498785507E-3</v>
      </c>
      <c r="C45" s="266" t="s">
        <v>489</v>
      </c>
      <c r="D45" s="266"/>
      <c r="E45" s="266"/>
      <c r="F45" s="266"/>
      <c r="G45" s="266"/>
      <c r="H45" s="266"/>
      <c r="I45" s="266"/>
      <c r="J45" s="266"/>
      <c r="K45" s="266"/>
      <c r="L45" s="266"/>
      <c r="M45" s="266"/>
      <c r="N45" s="266"/>
      <c r="O45" s="266"/>
    </row>
    <row r="52" spans="4:4" x14ac:dyDescent="0.25">
      <c r="D52" s="23"/>
    </row>
  </sheetData>
  <mergeCells count="17">
    <mergeCell ref="C10:N10"/>
    <mergeCell ref="C45:O45"/>
    <mergeCell ref="C4:N4"/>
    <mergeCell ref="C18:N18"/>
    <mergeCell ref="C22:N22"/>
    <mergeCell ref="C24:N24"/>
    <mergeCell ref="C43:N43"/>
    <mergeCell ref="E9:F9"/>
    <mergeCell ref="C8:N8"/>
    <mergeCell ref="G9:N9"/>
    <mergeCell ref="E11:N11"/>
    <mergeCell ref="E16:N16"/>
    <mergeCell ref="E15:N15"/>
    <mergeCell ref="M41:S41"/>
    <mergeCell ref="E14:N14"/>
    <mergeCell ref="E13:N13"/>
    <mergeCell ref="E12:N12"/>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opLeftCell="A67" zoomScale="70" zoomScaleNormal="70" workbookViewId="0">
      <selection activeCell="C78" sqref="C78"/>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490</v>
      </c>
    </row>
    <row r="4" spans="2:15" ht="19.5" customHeight="1" x14ac:dyDescent="0.25">
      <c r="B4" s="288" t="s">
        <v>491</v>
      </c>
      <c r="C4" s="289"/>
      <c r="D4" s="289"/>
      <c r="E4" s="289"/>
      <c r="F4" s="289"/>
      <c r="G4" s="289"/>
      <c r="H4" s="289"/>
      <c r="I4" s="289"/>
      <c r="J4" s="289"/>
      <c r="K4" s="289"/>
      <c r="L4" s="289"/>
      <c r="M4" s="289"/>
      <c r="N4" s="290"/>
    </row>
    <row r="5" spans="2:15" ht="19.5" customHeight="1" x14ac:dyDescent="0.25">
      <c r="B5" s="291"/>
      <c r="C5" s="292"/>
      <c r="D5" s="292"/>
      <c r="E5" s="292"/>
      <c r="F5" s="292"/>
      <c r="G5" s="292"/>
      <c r="H5" s="292"/>
      <c r="I5" s="292"/>
      <c r="J5" s="292"/>
      <c r="K5" s="292"/>
      <c r="L5" s="292"/>
      <c r="M5" s="292"/>
      <c r="N5" s="293"/>
    </row>
    <row r="6" spans="2:15" ht="19.5" customHeight="1" x14ac:dyDescent="0.25">
      <c r="B6" s="294"/>
      <c r="C6" s="295"/>
      <c r="D6" s="295"/>
      <c r="E6" s="295"/>
      <c r="F6" s="295"/>
      <c r="G6" s="295"/>
      <c r="H6" s="295"/>
      <c r="I6" s="295"/>
      <c r="J6" s="295"/>
      <c r="K6" s="295"/>
      <c r="L6" s="295"/>
      <c r="M6" s="295"/>
      <c r="N6" s="296"/>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97" t="s">
        <v>150</v>
      </c>
      <c r="N11" s="298"/>
      <c r="O11" s="299"/>
    </row>
    <row r="12" spans="2:15" x14ac:dyDescent="0.25">
      <c r="B12" s="1">
        <v>100</v>
      </c>
      <c r="C12" s="2" t="s">
        <v>99</v>
      </c>
      <c r="D12" s="2"/>
      <c r="E12" s="2"/>
      <c r="F12" s="2"/>
      <c r="G12" s="2"/>
      <c r="H12" s="2"/>
      <c r="I12" s="2"/>
      <c r="J12" s="2"/>
      <c r="K12" s="3"/>
      <c r="M12" s="300"/>
      <c r="N12" s="301"/>
      <c r="O12" s="302"/>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97" t="s">
        <v>168</v>
      </c>
      <c r="N14" s="298"/>
      <c r="O14" s="299"/>
    </row>
    <row r="15" spans="2:15" x14ac:dyDescent="0.25">
      <c r="B15" s="1">
        <v>100</v>
      </c>
      <c r="C15" s="114" t="s">
        <v>164</v>
      </c>
      <c r="D15" s="2"/>
      <c r="E15" s="2"/>
      <c r="F15" s="2"/>
      <c r="G15" s="2"/>
      <c r="H15" s="2"/>
      <c r="I15" s="2"/>
      <c r="J15" s="2"/>
      <c r="K15" s="3"/>
      <c r="M15" s="300"/>
      <c r="N15" s="301"/>
      <c r="O15" s="302"/>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97" t="s">
        <v>169</v>
      </c>
      <c r="N17" s="298"/>
      <c r="O17" s="299"/>
    </row>
    <row r="18" spans="2:18" x14ac:dyDescent="0.25">
      <c r="B18" s="1">
        <v>100</v>
      </c>
      <c r="C18" s="2" t="s">
        <v>161</v>
      </c>
      <c r="D18" s="2"/>
      <c r="E18" s="2"/>
      <c r="F18" s="2"/>
      <c r="G18" s="2"/>
      <c r="H18" s="2"/>
      <c r="I18" s="2"/>
      <c r="J18" s="2"/>
      <c r="K18" s="3"/>
      <c r="M18" s="300"/>
      <c r="N18" s="301"/>
      <c r="O18" s="302"/>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134943.51937984498</v>
      </c>
      <c r="C24" s="129">
        <f>'LEAP Region'!C14*1000</f>
        <v>113138.21705426357</v>
      </c>
      <c r="D24" s="129">
        <f>'LEAP Region'!D14*1000</f>
        <v>93481.612403100778</v>
      </c>
      <c r="E24" s="130">
        <f>'LEAP Region'!E14*1000</f>
        <v>63797.751937984489</v>
      </c>
      <c r="G24" s="281" t="s">
        <v>122</v>
      </c>
      <c r="H24" s="281"/>
      <c r="I24" s="281"/>
      <c r="J24" s="281"/>
      <c r="K24" s="281"/>
      <c r="L24" s="281"/>
      <c r="M24" s="281"/>
      <c r="N24" s="281"/>
    </row>
    <row r="25" spans="2:18" ht="56.25" customHeight="1" x14ac:dyDescent="0.25">
      <c r="B25" s="178">
        <f>('LEAP Region'!B7+'LEAP Region'!B8)*(2.4-1)*1000</f>
        <v>1077.001550387597</v>
      </c>
      <c r="C25" s="179">
        <f>('LEAP Region'!C7+'LEAP Region'!C8)*(2.6-1)*1000</f>
        <v>5772.3038759689935</v>
      </c>
      <c r="D25" s="179">
        <f>('LEAP Region'!D7+'LEAP Region'!D8)*(2.8-1)*1000</f>
        <v>11364.223255813955</v>
      </c>
      <c r="E25" s="180">
        <f>('LEAP Region'!E7+'LEAP Region'!E8)*(2.3-1)*1000</f>
        <v>12173.300775193798</v>
      </c>
      <c r="G25" s="281" t="s">
        <v>178</v>
      </c>
      <c r="H25" s="281"/>
      <c r="I25" s="281"/>
      <c r="J25" s="281"/>
      <c r="K25" s="281"/>
      <c r="L25" s="281"/>
      <c r="M25" s="281"/>
      <c r="N25" s="281"/>
    </row>
    <row r="26" spans="2:18" ht="56.25" customHeight="1" x14ac:dyDescent="0.25">
      <c r="B26" s="128">
        <f>'LEAP Region'!H14*1000</f>
        <v>131468.46511627908</v>
      </c>
      <c r="C26" s="129">
        <f>'LEAP Region'!I14*1000</f>
        <v>107328.77519379844</v>
      </c>
      <c r="D26" s="129">
        <f>'LEAP Region'!J14*1000</f>
        <v>81173.02325581394</v>
      </c>
      <c r="E26" s="130">
        <f>'LEAP Region'!K14*1000</f>
        <v>45732.775193798458</v>
      </c>
      <c r="G26" s="281" t="s">
        <v>123</v>
      </c>
      <c r="H26" s="281"/>
      <c r="I26" s="281"/>
      <c r="J26" s="281"/>
      <c r="K26" s="281"/>
      <c r="L26" s="281"/>
      <c r="M26" s="281"/>
      <c r="N26" s="281"/>
    </row>
    <row r="27" spans="2:18" ht="56.25" customHeight="1" thickBot="1" x14ac:dyDescent="0.3">
      <c r="B27" s="181">
        <f>('LEAP Region'!H7+'LEAP Region'!H8)*(2.4-1)*1000</f>
        <v>1448.381395348837</v>
      </c>
      <c r="C27" s="182">
        <f>('LEAP Region'!I7+'LEAP Region'!I8)*(2.6-1)*1000</f>
        <v>6621.1720930232559</v>
      </c>
      <c r="D27" s="182">
        <f>('LEAP Region'!J7+'LEAP Region'!J8)*(2.8-1)*1000</f>
        <v>15040.883720930233</v>
      </c>
      <c r="E27" s="183">
        <f>('LEAP Region'!K7+'LEAP Region'!K8)*(3-1)*1000</f>
        <v>21009.488372093023</v>
      </c>
      <c r="G27" s="281" t="s">
        <v>178</v>
      </c>
      <c r="H27" s="281"/>
      <c r="I27" s="281"/>
      <c r="J27" s="281"/>
      <c r="K27" s="281"/>
      <c r="L27" s="281"/>
      <c r="M27" s="281"/>
      <c r="N27" s="281"/>
    </row>
    <row r="28" spans="2:18" ht="56.25" customHeight="1" thickTop="1" x14ac:dyDescent="0.25">
      <c r="B28" s="128">
        <f>B24+B25-B26-B27</f>
        <v>3103.6744186046471</v>
      </c>
      <c r="C28" s="129">
        <f>C24+C25-C26-C27</f>
        <v>4960.5736434108685</v>
      </c>
      <c r="D28" s="129">
        <f>D24+D25-D26-D27</f>
        <v>8631.9286821705573</v>
      </c>
      <c r="E28" s="130">
        <f>E24+E25-E26-E27</f>
        <v>9228.7891472868068</v>
      </c>
      <c r="G28" s="281" t="s">
        <v>177</v>
      </c>
      <c r="H28" s="281"/>
      <c r="I28" s="281"/>
      <c r="J28" s="281"/>
      <c r="K28" s="281"/>
      <c r="L28" s="281"/>
      <c r="M28" s="281"/>
      <c r="N28" s="281"/>
    </row>
    <row r="29" spans="2:18" ht="56.25" customHeight="1" x14ac:dyDescent="0.25">
      <c r="B29" s="282">
        <f>0.25*'1.Current Heat'!B10</f>
        <v>33.462499999999999</v>
      </c>
      <c r="C29" s="283"/>
      <c r="D29" s="283"/>
      <c r="E29" s="284"/>
      <c r="G29" s="281" t="s">
        <v>124</v>
      </c>
      <c r="H29" s="281"/>
      <c r="I29" s="281"/>
      <c r="J29" s="281"/>
      <c r="K29" s="281"/>
      <c r="L29" s="281"/>
      <c r="M29" s="281"/>
      <c r="N29" s="281"/>
      <c r="R29">
        <v>60</v>
      </c>
    </row>
    <row r="30" spans="2:18" ht="56.25" customHeight="1" x14ac:dyDescent="0.25">
      <c r="B30" s="128">
        <f>B28/$B$29</f>
        <v>92.750823118555019</v>
      </c>
      <c r="C30" s="129">
        <f>C28/$B$29</f>
        <v>148.2427685741014</v>
      </c>
      <c r="D30" s="129">
        <f>D28/$B$29</f>
        <v>257.9582721604948</v>
      </c>
      <c r="E30" s="130">
        <f>E28/$B$29</f>
        <v>275.79496891406222</v>
      </c>
      <c r="G30" s="281" t="s">
        <v>125</v>
      </c>
      <c r="H30" s="281"/>
      <c r="I30" s="281"/>
      <c r="J30" s="281"/>
      <c r="K30" s="281"/>
      <c r="L30" s="281"/>
      <c r="M30" s="281"/>
      <c r="N30" s="281"/>
      <c r="R30">
        <v>96</v>
      </c>
    </row>
    <row r="31" spans="2:18" ht="56.25" customHeight="1" x14ac:dyDescent="0.25">
      <c r="B31" s="131">
        <f>'1.Current Heat'!B8</f>
        <v>605</v>
      </c>
      <c r="C31" s="132">
        <f t="shared" ref="C31:E31" si="0">B31*1.06</f>
        <v>641.30000000000007</v>
      </c>
      <c r="D31" s="132">
        <f t="shared" si="0"/>
        <v>679.77800000000013</v>
      </c>
      <c r="E31" s="133">
        <f t="shared" si="0"/>
        <v>720.56468000000018</v>
      </c>
      <c r="G31" s="281" t="s">
        <v>126</v>
      </c>
      <c r="H31" s="281"/>
      <c r="I31" s="281"/>
      <c r="J31" s="281"/>
      <c r="K31" s="281"/>
      <c r="L31" s="281"/>
      <c r="M31" s="281"/>
      <c r="N31" s="281"/>
      <c r="O31" s="186">
        <f>(E31/B31)^(1/(E23-B23))-1</f>
        <v>5.006971033976404E-3</v>
      </c>
      <c r="R31">
        <f>R29+R30</f>
        <v>156</v>
      </c>
    </row>
    <row r="32" spans="2:18" ht="56.25" customHeight="1" x14ac:dyDescent="0.25">
      <c r="B32" s="134">
        <f>B30/B31</f>
        <v>0.15330714565050416</v>
      </c>
      <c r="C32" s="135">
        <f>C30/C31</f>
        <v>0.23115978258865022</v>
      </c>
      <c r="D32" s="135">
        <f>D30/D31</f>
        <v>0.37947428742985906</v>
      </c>
      <c r="E32" s="136">
        <f>E30/E31</f>
        <v>0.38274838688188567</v>
      </c>
      <c r="G32" s="281" t="s">
        <v>183</v>
      </c>
      <c r="H32" s="281"/>
      <c r="I32" s="281"/>
      <c r="J32" s="281"/>
      <c r="K32" s="281"/>
      <c r="L32" s="281"/>
      <c r="M32" s="281"/>
      <c r="N32" s="281"/>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f>('LEAP Region'!N11-'LEAP Region'!N6)*1000</f>
        <v>27789.58190541467</v>
      </c>
      <c r="C37" s="129">
        <f>('LEAP Region'!O11-'LEAP Region'!O6)*1000</f>
        <v>26432.488005483196</v>
      </c>
      <c r="D37" s="129">
        <f>('LEAP Region'!P11-'LEAP Region'!P6)*1000</f>
        <v>24458.533241946534</v>
      </c>
      <c r="E37" s="130">
        <f>('LEAP Region'!Q11-'LEAP Region'!Q6)*1000</f>
        <v>21713.502398903358</v>
      </c>
      <c r="G37" s="281" t="s">
        <v>179</v>
      </c>
      <c r="H37" s="281"/>
      <c r="I37" s="281"/>
      <c r="J37" s="281"/>
      <c r="K37" s="281"/>
      <c r="L37" s="281"/>
      <c r="M37" s="281"/>
      <c r="N37" s="281"/>
    </row>
    <row r="38" spans="2:34" ht="56.25" customHeight="1" x14ac:dyDescent="0.25">
      <c r="B38" s="128">
        <f>'LEAP Region'!N6*1000</f>
        <v>23255.654557916379</v>
      </c>
      <c r="C38" s="129">
        <f>'LEAP Region'!O6*1000</f>
        <v>24736.120630568879</v>
      </c>
      <c r="D38" s="129">
        <f>'LEAP Region'!P6*1000</f>
        <v>25815.627141877998</v>
      </c>
      <c r="E38" s="130">
        <f>'LEAP Region'!Q6*1000</f>
        <v>28098.012337217271</v>
      </c>
      <c r="F38" s="184"/>
      <c r="G38" s="281" t="s">
        <v>97</v>
      </c>
      <c r="H38" s="281"/>
      <c r="I38" s="281"/>
      <c r="J38" s="281"/>
      <c r="K38" s="281"/>
      <c r="L38" s="281"/>
      <c r="M38" s="281"/>
      <c r="N38" s="281"/>
    </row>
    <row r="39" spans="2:34" ht="56.25" customHeight="1" x14ac:dyDescent="0.25">
      <c r="B39" s="128">
        <f>0.005*B38</f>
        <v>116.27827278958191</v>
      </c>
      <c r="C39" s="129">
        <f>B39-(($B$39-$E$39)/3)</f>
        <v>545.81905414667585</v>
      </c>
      <c r="D39" s="129">
        <f>C39-(($B$39-$E$39)/3)</f>
        <v>975.35983550376977</v>
      </c>
      <c r="E39" s="130">
        <f>0.05*E38</f>
        <v>1404.9006168608637</v>
      </c>
      <c r="G39" s="281" t="s">
        <v>195</v>
      </c>
      <c r="H39" s="281"/>
      <c r="I39" s="281"/>
      <c r="J39" s="281"/>
      <c r="K39" s="281"/>
      <c r="L39" s="281"/>
      <c r="M39" s="281"/>
      <c r="N39" s="281"/>
      <c r="V39" s="21"/>
      <c r="W39" s="21"/>
      <c r="X39" s="21"/>
      <c r="Y39" s="21"/>
      <c r="AH39" s="21"/>
    </row>
    <row r="40" spans="2:34" ht="56.25" customHeight="1" x14ac:dyDescent="0.25">
      <c r="B40" s="142">
        <f>B39*(2.4-1)</f>
        <v>162.78958190541465</v>
      </c>
      <c r="C40" s="143">
        <f>C39*(2.6-1)</f>
        <v>873.31048663468141</v>
      </c>
      <c r="D40" s="143">
        <f>D39*(2.8-1)</f>
        <v>1755.6477039067854</v>
      </c>
      <c r="E40" s="144">
        <f>E39*(3-1)</f>
        <v>2809.8012337217274</v>
      </c>
      <c r="G40" s="281" t="s">
        <v>196</v>
      </c>
      <c r="H40" s="281"/>
      <c r="I40" s="281"/>
      <c r="J40" s="281"/>
      <c r="K40" s="281"/>
      <c r="L40" s="281"/>
      <c r="M40" s="281"/>
      <c r="N40" s="281"/>
      <c r="V40" s="21"/>
      <c r="W40" s="21"/>
      <c r="X40" s="21"/>
      <c r="Y40" s="21"/>
      <c r="AH40" s="21"/>
    </row>
    <row r="41" spans="2:34" ht="56.25" customHeight="1" x14ac:dyDescent="0.25">
      <c r="B41" s="128">
        <f>('LEAP Region'!T11-'LEAP Region'!T6)*1000</f>
        <v>27697.052775873879</v>
      </c>
      <c r="C41" s="129">
        <f>('LEAP Region'!U11-'LEAP Region'!U6)*1000</f>
        <v>25753.941055517469</v>
      </c>
      <c r="D41" s="129">
        <f>('LEAP Region'!V11-'LEAP Region'!V6)*1000</f>
        <v>23163.125428375599</v>
      </c>
      <c r="E41" s="130">
        <f>('LEAP Region'!W11-'LEAP Region'!W6)*1000</f>
        <v>19431.117203564081</v>
      </c>
      <c r="G41" s="281" t="s">
        <v>197</v>
      </c>
      <c r="H41" s="281"/>
      <c r="I41" s="281"/>
      <c r="J41" s="281"/>
      <c r="K41" s="281"/>
      <c r="L41" s="281"/>
      <c r="M41" s="281"/>
      <c r="N41" s="281"/>
      <c r="AH41" s="21"/>
    </row>
    <row r="42" spans="2:34" ht="56.25" customHeight="1" x14ac:dyDescent="0.25">
      <c r="B42" s="128">
        <f>'LEAP Region'!T6*1000</f>
        <v>22947.224126113775</v>
      </c>
      <c r="C42" s="129">
        <f>'LEAP Region'!U6*1000</f>
        <v>22731.322823851951</v>
      </c>
      <c r="D42" s="129">
        <f>'LEAP Region'!V6*1000</f>
        <v>22021.932830705962</v>
      </c>
      <c r="E42" s="130">
        <f>'LEAP Region'!W6*1000</f>
        <v>21343.385880740232</v>
      </c>
      <c r="G42" s="281" t="s">
        <v>98</v>
      </c>
      <c r="H42" s="281"/>
      <c r="I42" s="281"/>
      <c r="J42" s="281"/>
      <c r="K42" s="281"/>
      <c r="L42" s="281"/>
      <c r="M42" s="281"/>
      <c r="N42" s="281"/>
      <c r="V42" s="29"/>
      <c r="W42" s="29"/>
      <c r="X42" s="29"/>
      <c r="Y42" s="29"/>
      <c r="AH42" s="21"/>
    </row>
    <row r="43" spans="2:34" ht="56.25" customHeight="1" x14ac:dyDescent="0.25">
      <c r="B43" s="128">
        <f>B39</f>
        <v>116.27827278958191</v>
      </c>
      <c r="C43" s="129">
        <f>B43-(($B$43-$E$43)/3)</f>
        <v>655.03769705277625</v>
      </c>
      <c r="D43" s="129">
        <f>C43-(($B$43-$E$43)/3)</f>
        <v>1193.7971213159706</v>
      </c>
      <c r="E43" s="130">
        <f>0.8*((E37+E39+E40-E41)/3)</f>
        <v>1732.5565455791648</v>
      </c>
      <c r="G43" s="281" t="s">
        <v>142</v>
      </c>
      <c r="H43" s="281"/>
      <c r="I43" s="281"/>
      <c r="J43" s="281"/>
      <c r="K43" s="281"/>
      <c r="L43" s="281"/>
      <c r="M43" s="281"/>
      <c r="N43" s="281"/>
      <c r="AH43" s="21"/>
    </row>
    <row r="44" spans="2:34" ht="56.25" customHeight="1" x14ac:dyDescent="0.25">
      <c r="B44" s="128">
        <f>B43*(2.4-1)</f>
        <v>162.78958190541465</v>
      </c>
      <c r="C44" s="129">
        <f>C43*(2.6-1)</f>
        <v>1048.0603152844421</v>
      </c>
      <c r="D44" s="129">
        <f>D43*(2.8-1)</f>
        <v>2148.8348183687467</v>
      </c>
      <c r="E44" s="130">
        <f>E43*(3-1)</f>
        <v>3465.1130911583296</v>
      </c>
      <c r="F44" s="21"/>
      <c r="G44" s="281" t="s">
        <v>96</v>
      </c>
      <c r="H44" s="281"/>
      <c r="I44" s="281"/>
      <c r="J44" s="281"/>
      <c r="K44" s="281"/>
      <c r="L44" s="281"/>
      <c r="M44" s="281"/>
      <c r="N44" s="281"/>
      <c r="R44">
        <v>33</v>
      </c>
      <c r="V44" s="21"/>
      <c r="W44" s="21"/>
      <c r="X44" s="21"/>
      <c r="Y44" s="21"/>
      <c r="AH44" s="21"/>
    </row>
    <row r="45" spans="2:34" ht="56.25" customHeight="1" x14ac:dyDescent="0.25">
      <c r="B45" s="128">
        <f>B37+B39+B40-B41-B43-B44</f>
        <v>92.529129540791558</v>
      </c>
      <c r="C45" s="129">
        <f>C37+C39+C40-C41-C43-C44</f>
        <v>394.57847840986392</v>
      </c>
      <c r="D45" s="129">
        <f>D37+D39+D40-D41-D43-D44</f>
        <v>683.78341329677278</v>
      </c>
      <c r="E45" s="130">
        <f>E37+E39+E40-E41-E43-E44</f>
        <v>1299.4174091843734</v>
      </c>
      <c r="F45" s="92"/>
      <c r="G45" s="281" t="s">
        <v>149</v>
      </c>
      <c r="H45" s="281"/>
      <c r="I45" s="281"/>
      <c r="J45" s="281"/>
      <c r="K45" s="281"/>
      <c r="L45" s="281"/>
      <c r="M45" s="281"/>
      <c r="N45" s="281"/>
      <c r="R45">
        <v>6</v>
      </c>
      <c r="AH45" s="21"/>
    </row>
    <row r="46" spans="2:34" ht="56.25" customHeight="1" x14ac:dyDescent="0.25">
      <c r="B46" s="285">
        <f ca="1">0.2*'1.Current Heat'!B24</f>
        <v>124.27158031506913</v>
      </c>
      <c r="C46" s="286"/>
      <c r="D46" s="286"/>
      <c r="E46" s="287"/>
      <c r="G46" s="281" t="s">
        <v>127</v>
      </c>
      <c r="H46" s="281"/>
      <c r="I46" s="281"/>
      <c r="J46" s="281"/>
      <c r="K46" s="281"/>
      <c r="L46" s="281"/>
      <c r="M46" s="281"/>
      <c r="N46" s="281"/>
      <c r="R46">
        <f>R45/R44</f>
        <v>0.18181818181818182</v>
      </c>
      <c r="AH46" s="21"/>
    </row>
    <row r="47" spans="2:34" ht="56.25" customHeight="1" x14ac:dyDescent="0.25">
      <c r="B47" s="128">
        <f ca="1">B45/$B$46</f>
        <v>0.74457192309134501</v>
      </c>
      <c r="C47" s="129">
        <f ca="1">C45/$B$46</f>
        <v>3.1751304474400208</v>
      </c>
      <c r="D47" s="129">
        <f ca="1">D45/$B$46</f>
        <v>5.5023313581686013</v>
      </c>
      <c r="E47" s="130">
        <f ca="1">E45/$B$46</f>
        <v>10.45627170661164</v>
      </c>
      <c r="G47" s="281" t="s">
        <v>128</v>
      </c>
      <c r="H47" s="281"/>
      <c r="I47" s="281"/>
      <c r="J47" s="281"/>
      <c r="K47" s="281"/>
      <c r="L47" s="281"/>
      <c r="M47" s="281"/>
      <c r="N47" s="281"/>
    </row>
    <row r="48" spans="2:34" ht="56.25" customHeight="1" x14ac:dyDescent="0.25">
      <c r="B48" s="131">
        <f ca="1">'1.Current Heat'!B22</f>
        <v>45</v>
      </c>
      <c r="C48" s="132">
        <f t="shared" ref="C48:E48" ca="1" si="1">B48*1.06</f>
        <v>47.7</v>
      </c>
      <c r="D48" s="132">
        <f t="shared" ca="1" si="1"/>
        <v>50.562000000000005</v>
      </c>
      <c r="E48" s="133">
        <f t="shared" ca="1" si="1"/>
        <v>53.595720000000007</v>
      </c>
      <c r="G48" s="281" t="s">
        <v>194</v>
      </c>
      <c r="H48" s="281"/>
      <c r="I48" s="281"/>
      <c r="J48" s="281"/>
      <c r="K48" s="281"/>
      <c r="L48" s="281"/>
      <c r="M48" s="281"/>
      <c r="N48" s="281"/>
      <c r="O48" s="186">
        <f ca="1">(E48/B48)^(1/(E36-B36))-1</f>
        <v>5.006971033976404E-3</v>
      </c>
    </row>
    <row r="49" spans="1:14" ht="56.25" customHeight="1" x14ac:dyDescent="0.25">
      <c r="B49" s="134">
        <f ca="1">B47/B48</f>
        <v>1.6546042735363222E-2</v>
      </c>
      <c r="C49" s="135">
        <f ca="1">C47/C48</f>
        <v>6.6564579610901897E-2</v>
      </c>
      <c r="D49" s="135">
        <f ca="1">D47/D48</f>
        <v>0.1088234515677505</v>
      </c>
      <c r="E49" s="136">
        <f ca="1">E47/E48</f>
        <v>0.19509527452213793</v>
      </c>
      <c r="G49" s="281" t="s">
        <v>182</v>
      </c>
      <c r="H49" s="281"/>
      <c r="I49" s="281"/>
      <c r="J49" s="281"/>
      <c r="K49" s="281"/>
      <c r="L49" s="281"/>
      <c r="M49" s="281"/>
      <c r="N49" s="281"/>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133.85</v>
      </c>
      <c r="C54" s="147">
        <f>C32*($B$54-$B$29)+(1-C32)*$B$54</f>
        <v>126.11481577512728</v>
      </c>
      <c r="D54" s="147">
        <f>D32*($B$54-$B$29)+(1-D32)*$B$54</f>
        <v>121.15184165687833</v>
      </c>
      <c r="E54" s="148">
        <f>E32*($B$54-$B$29)+(1-E32)*$B$54</f>
        <v>121.04228210396488</v>
      </c>
      <c r="F54" s="1"/>
      <c r="G54" s="281" t="s">
        <v>109</v>
      </c>
      <c r="H54" s="281"/>
      <c r="I54" s="281"/>
      <c r="J54" s="281"/>
      <c r="K54" s="281"/>
      <c r="L54" s="281"/>
      <c r="M54" s="281"/>
      <c r="N54" s="281"/>
    </row>
    <row r="55" spans="1:14" ht="56.25" customHeight="1" x14ac:dyDescent="0.25">
      <c r="B55" s="149">
        <f>('LEAP Region'!H4+'LEAP Region'!H9+'LEAP Region'!H12)*1000</f>
        <v>48491.596899224809</v>
      </c>
      <c r="C55" s="150">
        <f>('LEAP Region'!I4+'LEAP Region'!I9+'LEAP Region'!I12)*1000</f>
        <v>35201.503875968992</v>
      </c>
      <c r="D55" s="150">
        <f>('LEAP Region'!J4+'LEAP Region'!J9+'LEAP Region'!J12)*1000</f>
        <v>22388.899224806202</v>
      </c>
      <c r="E55" s="151">
        <f>('LEAP Region'!K4+'LEAP Region'!K9+'LEAP Region'!K12)*1000</f>
        <v>3368.9457364341088</v>
      </c>
      <c r="G55" s="281" t="s">
        <v>110</v>
      </c>
      <c r="H55" s="281"/>
      <c r="I55" s="281"/>
      <c r="J55" s="281"/>
      <c r="K55" s="281"/>
      <c r="L55" s="281"/>
      <c r="M55" s="281"/>
      <c r="N55" s="281"/>
    </row>
    <row r="56" spans="1:14" ht="56.25" customHeight="1" x14ac:dyDescent="0.25">
      <c r="B56" s="152">
        <f>'LEAP Region'!H4*1000/'2.Heat Targets'!B55</f>
        <v>7.658643326039387E-3</v>
      </c>
      <c r="C56" s="153">
        <f>'LEAP Region'!I4*1000/'2.Heat Targets'!C55</f>
        <v>3.7678975131876409E-2</v>
      </c>
      <c r="D56" s="153">
        <f>'LEAP Region'!J4*1000/'2.Heat Targets'!D55</f>
        <v>9.7156398104265407E-2</v>
      </c>
      <c r="E56" s="154">
        <f>'LEAP Region'!K4*1000/'2.Heat Targets'!E55</f>
        <v>1</v>
      </c>
      <c r="G56" s="281" t="s">
        <v>137</v>
      </c>
      <c r="H56" s="281"/>
      <c r="I56" s="281"/>
      <c r="J56" s="281"/>
      <c r="K56" s="281"/>
      <c r="L56" s="281"/>
      <c r="M56" s="281"/>
      <c r="N56" s="281"/>
    </row>
    <row r="57" spans="1:14" ht="56.25" customHeight="1" x14ac:dyDescent="0.25">
      <c r="B57" s="128">
        <f>B55/B54</f>
        <v>362.28312961692052</v>
      </c>
      <c r="C57" s="129">
        <f>C55/C54</f>
        <v>279.12266817830562</v>
      </c>
      <c r="D57" s="129">
        <f>D55/D54</f>
        <v>184.80032097419695</v>
      </c>
      <c r="E57" s="130">
        <f>E55/E54</f>
        <v>27.832800884739392</v>
      </c>
      <c r="G57" s="281" t="s">
        <v>111</v>
      </c>
      <c r="H57" s="281"/>
      <c r="I57" s="281"/>
      <c r="J57" s="281"/>
      <c r="K57" s="281"/>
      <c r="L57" s="281"/>
      <c r="M57" s="281"/>
      <c r="N57" s="281"/>
    </row>
    <row r="58" spans="1:14" ht="56.25" customHeight="1" x14ac:dyDescent="0.25">
      <c r="B58" s="134">
        <f>B57/B31</f>
        <v>0.59881509027590163</v>
      </c>
      <c r="C58" s="135">
        <f>C57/C31</f>
        <v>0.43524507746500168</v>
      </c>
      <c r="D58" s="135">
        <f>D57/D31</f>
        <v>0.27185393021574239</v>
      </c>
      <c r="E58" s="136">
        <f>E57/E31</f>
        <v>3.8626374088637519E-2</v>
      </c>
      <c r="G58" s="281" t="s">
        <v>130</v>
      </c>
      <c r="H58" s="281"/>
      <c r="I58" s="281"/>
      <c r="J58" s="281"/>
      <c r="K58" s="281"/>
      <c r="L58" s="281"/>
      <c r="M58" s="281"/>
      <c r="N58" s="281"/>
    </row>
    <row r="59" spans="1:14" ht="56.25" customHeight="1" x14ac:dyDescent="0.25">
      <c r="B59" s="149">
        <f>('LEAP Region'!H5+'LEAP Region'!H13)*1000</f>
        <v>57696.511627906984</v>
      </c>
      <c r="C59" s="150">
        <f>('LEAP Region'!I5+'LEAP Region'!I13)*1000</f>
        <v>48358.961240310084</v>
      </c>
      <c r="D59" s="150">
        <f>('LEAP Region'!J5+'LEAP Region'!J13)*1000</f>
        <v>38331.705426356595</v>
      </c>
      <c r="E59" s="151">
        <f>('LEAP Region'!K5+'LEAP Region'!K13)*1000</f>
        <v>27747.379844961244</v>
      </c>
      <c r="G59" s="281" t="s">
        <v>112</v>
      </c>
      <c r="H59" s="281"/>
      <c r="I59" s="281"/>
      <c r="J59" s="281"/>
      <c r="K59" s="281"/>
      <c r="L59" s="281"/>
      <c r="M59" s="281"/>
      <c r="N59" s="281"/>
    </row>
    <row r="60" spans="1:14" ht="56.25" customHeight="1" x14ac:dyDescent="0.25">
      <c r="A60" s="2"/>
      <c r="B60" s="128">
        <f>B59/B54</f>
        <v>431.05350487790054</v>
      </c>
      <c r="C60" s="129">
        <f>C59/C54</f>
        <v>383.45186442279663</v>
      </c>
      <c r="D60" s="129">
        <f>D59/D54</f>
        <v>316.3939144641169</v>
      </c>
      <c r="E60" s="130">
        <f>E59/E54</f>
        <v>229.23708445226305</v>
      </c>
      <c r="G60" s="281" t="s">
        <v>140</v>
      </c>
      <c r="H60" s="281"/>
      <c r="I60" s="281"/>
      <c r="J60" s="281"/>
      <c r="K60" s="281"/>
      <c r="L60" s="281"/>
      <c r="M60" s="281"/>
      <c r="N60" s="281"/>
    </row>
    <row r="61" spans="1:14" ht="56.25" customHeight="1" x14ac:dyDescent="0.25">
      <c r="B61" s="134">
        <f>B60/B31</f>
        <v>0.71248513202958763</v>
      </c>
      <c r="C61" s="135">
        <f>C60/C31</f>
        <v>0.59792899488974982</v>
      </c>
      <c r="D61" s="135">
        <f>D60/D31</f>
        <v>0.46543711985989078</v>
      </c>
      <c r="E61" s="136">
        <f>E60/E31</f>
        <v>0.3181353330449988</v>
      </c>
      <c r="G61" s="281" t="s">
        <v>131</v>
      </c>
      <c r="H61" s="281"/>
      <c r="I61" s="281"/>
      <c r="J61" s="281"/>
      <c r="K61" s="281"/>
      <c r="L61" s="281"/>
      <c r="M61" s="281"/>
      <c r="N61" s="281"/>
    </row>
    <row r="62" spans="1:14" ht="56.25" customHeight="1" x14ac:dyDescent="0.25">
      <c r="B62" s="149">
        <f>('LEAP Region'!H7+'LEAP Region'!H8)*1000</f>
        <v>1034.5581395348838</v>
      </c>
      <c r="C62" s="150">
        <f>('LEAP Region'!I7+'LEAP Region'!I8)*1000</f>
        <v>4138.2325581395353</v>
      </c>
      <c r="D62" s="150">
        <f>('LEAP Region'!J7+'LEAP Region'!J8)*1000</f>
        <v>8356.0465116279065</v>
      </c>
      <c r="E62" s="151">
        <f>('LEAP Region'!K7+'LEAP Region'!K8)*1000</f>
        <v>10504.744186046511</v>
      </c>
      <c r="G62" s="281" t="s">
        <v>113</v>
      </c>
      <c r="H62" s="281"/>
      <c r="I62" s="281"/>
      <c r="J62" s="281"/>
      <c r="K62" s="281"/>
      <c r="L62" s="281"/>
      <c r="M62" s="281"/>
      <c r="N62" s="281"/>
    </row>
    <row r="63" spans="1:14" ht="56.25" customHeight="1" x14ac:dyDescent="0.25">
      <c r="B63" s="128">
        <f>B62/((0.7*B54)/2.4)</f>
        <v>26.50023517673004</v>
      </c>
      <c r="C63" s="129">
        <f>C62/((0.75*C54)/2.6)</f>
        <v>113.75247848592893</v>
      </c>
      <c r="D63" s="129">
        <f>D62/((0.8*D54)/2.8)</f>
        <v>241.40089321570156</v>
      </c>
      <c r="E63" s="130">
        <f>E62/((0.85*E54)/3)</f>
        <v>306.30261649903093</v>
      </c>
      <c r="F63" s="91"/>
      <c r="G63" s="281" t="s">
        <v>180</v>
      </c>
      <c r="H63" s="281"/>
      <c r="I63" s="281"/>
      <c r="J63" s="281"/>
      <c r="K63" s="281"/>
      <c r="L63" s="281"/>
      <c r="M63" s="281"/>
      <c r="N63" s="281"/>
    </row>
    <row r="64" spans="1:14" ht="56.25" customHeight="1" x14ac:dyDescent="0.25">
      <c r="B64" s="134">
        <f>B63/B31</f>
        <v>4.3802041614429819E-2</v>
      </c>
      <c r="C64" s="135">
        <f>C63/C31</f>
        <v>0.17737794867601578</v>
      </c>
      <c r="D64" s="135">
        <f>D63/D31</f>
        <v>0.35511724888963975</v>
      </c>
      <c r="E64" s="136">
        <f>E63/E31</f>
        <v>0.42508691447245356</v>
      </c>
      <c r="G64" s="281" t="s">
        <v>114</v>
      </c>
      <c r="H64" s="281"/>
      <c r="I64" s="281"/>
      <c r="J64" s="281"/>
      <c r="K64" s="281"/>
      <c r="L64" s="281"/>
      <c r="M64" s="281"/>
      <c r="N64" s="281"/>
    </row>
    <row r="65" spans="1:20" ht="56.25" customHeight="1" x14ac:dyDescent="0.25">
      <c r="B65" s="149">
        <f>('LEAP Region'!H10+'LEAP Region'!H11)*1000</f>
        <v>18754.682170542637</v>
      </c>
      <c r="C65" s="150">
        <f>('LEAP Region'!I10+'LEAP Region'!I11)*1000</f>
        <v>14669.503875968994</v>
      </c>
      <c r="D65" s="150">
        <f>('LEAP Region'!J10+'LEAP Region'!J11)*1000</f>
        <v>9390.6046511627901</v>
      </c>
      <c r="E65" s="151">
        <f>('LEAP Region'!K10+'LEAP Region'!K11)*1000</f>
        <v>3289.3643410852715</v>
      </c>
      <c r="G65" s="281" t="s">
        <v>115</v>
      </c>
      <c r="H65" s="281"/>
      <c r="I65" s="281"/>
      <c r="J65" s="281"/>
      <c r="K65" s="281"/>
      <c r="L65" s="281"/>
      <c r="M65" s="281"/>
      <c r="N65" s="281"/>
    </row>
    <row r="66" spans="1:20" ht="56.25" customHeight="1" x14ac:dyDescent="0.25">
      <c r="B66" s="128">
        <f>B65/B54</f>
        <v>140.11716227525318</v>
      </c>
      <c r="C66" s="129">
        <f>C65/C54</f>
        <v>116.31864016774907</v>
      </c>
      <c r="D66" s="129">
        <f>D65/D54</f>
        <v>77.511035100551794</v>
      </c>
      <c r="E66" s="130">
        <f>E65/E54</f>
        <v>27.175333147304602</v>
      </c>
      <c r="G66" s="281" t="s">
        <v>146</v>
      </c>
      <c r="H66" s="281"/>
      <c r="I66" s="281"/>
      <c r="J66" s="281"/>
      <c r="K66" s="281"/>
      <c r="L66" s="281"/>
      <c r="M66" s="281"/>
      <c r="N66" s="281"/>
    </row>
    <row r="67" spans="1:20" ht="56.25" customHeight="1" x14ac:dyDescent="0.25">
      <c r="A67" s="21"/>
      <c r="B67" s="134">
        <f>B66/B31</f>
        <v>0.23159861533099699</v>
      </c>
      <c r="C67" s="135">
        <f>C66/C31</f>
        <v>0.18137944825783417</v>
      </c>
      <c r="D67" s="135">
        <f>D66/D31</f>
        <v>0.11402404182034691</v>
      </c>
      <c r="E67" s="136">
        <f>E66/E31</f>
        <v>3.7713940055047655E-2</v>
      </c>
      <c r="G67" s="281" t="s">
        <v>116</v>
      </c>
      <c r="H67" s="281"/>
      <c r="I67" s="281"/>
      <c r="J67" s="281"/>
      <c r="K67" s="281"/>
      <c r="L67" s="281"/>
      <c r="M67" s="281"/>
      <c r="N67" s="281"/>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f ca="1">'1.Current Heat'!B24</f>
        <v>621.35790157534564</v>
      </c>
      <c r="C72" s="156">
        <f ca="1">C49*($B$72-$B$46)+(1-C49)*$B$72</f>
        <v>613.08581607409064</v>
      </c>
      <c r="D72" s="156">
        <f ca="1">D49*($B$72-$B$46)+(1-D49)*$B$72</f>
        <v>607.83423927368085</v>
      </c>
      <c r="E72" s="157">
        <f ca="1">E49*($B$72-$B$46)+(1-E49)*$B$72</f>
        <v>597.11310349847736</v>
      </c>
      <c r="G72" s="280" t="s">
        <v>134</v>
      </c>
      <c r="H72" s="280"/>
      <c r="I72" s="280"/>
      <c r="J72" s="280"/>
      <c r="K72" s="280"/>
      <c r="L72" s="280"/>
      <c r="M72" s="280"/>
      <c r="N72" s="280"/>
    </row>
    <row r="73" spans="1:20" ht="56.25" customHeight="1" x14ac:dyDescent="0.25">
      <c r="B73" s="149">
        <f>('LEAP Region'!T4+'LEAP Region'!T5+'LEAP Region'!T9)*1000</f>
        <v>14126.113776559287</v>
      </c>
      <c r="C73" s="150">
        <f>('LEAP Region'!U4+'LEAP Region'!U5+'LEAP Region'!U9)*1000</f>
        <v>11843.728581220013</v>
      </c>
      <c r="D73" s="150">
        <f>('LEAP Region'!V4+'LEAP Region'!V5+'LEAP Region'!V9)*1000</f>
        <v>9191.2268677176144</v>
      </c>
      <c r="E73" s="151">
        <f>('LEAP Region'!W4+'LEAP Region'!W5+'LEAP Region'!W9)*1000</f>
        <v>5089.1021247429735</v>
      </c>
      <c r="G73" s="281" t="s">
        <v>133</v>
      </c>
      <c r="H73" s="281"/>
      <c r="I73" s="281"/>
      <c r="J73" s="281"/>
      <c r="K73" s="281"/>
      <c r="L73" s="281"/>
      <c r="M73" s="281"/>
      <c r="N73" s="281"/>
    </row>
    <row r="74" spans="1:20" ht="56.25" customHeight="1" x14ac:dyDescent="0.25">
      <c r="B74" s="158">
        <f ca="1">com_share_state_target*'LEAP Statewide'!T4*1000/'2.Heat Targets'!B73</f>
        <v>6.3801135004696551E-3</v>
      </c>
      <c r="C74" s="145">
        <f ca="1">com_share_state_target*'LEAP Statewide'!U4*1000/'2.Heat Targets'!C73</f>
        <v>4.7578560810844606E-2</v>
      </c>
      <c r="D74" s="145">
        <f ca="1">com_share_state_target*'LEAP Statewide'!V4*1000/'2.Heat Targets'!D73</f>
        <v>0.11502631259267763</v>
      </c>
      <c r="E74" s="159">
        <f ca="1">com_share_state_target*'LEAP Statewide'!W4*1000/'2.Heat Targets'!E73</f>
        <v>0.36940951020521612</v>
      </c>
      <c r="G74" s="281" t="s">
        <v>136</v>
      </c>
      <c r="H74" s="281"/>
      <c r="I74" s="281"/>
      <c r="J74" s="281"/>
      <c r="K74" s="281"/>
      <c r="L74" s="281"/>
      <c r="M74" s="281"/>
      <c r="N74" s="281"/>
    </row>
    <row r="75" spans="1:20" ht="56.25" customHeight="1" x14ac:dyDescent="0.25">
      <c r="B75" s="128">
        <f ca="1">B73/B72</f>
        <v>22.73426271838656</v>
      </c>
      <c r="C75" s="129">
        <f ca="1">C73/C72</f>
        <v>19.31822311118141</v>
      </c>
      <c r="D75" s="129">
        <f ca="1">D73/D72</f>
        <v>15.121272007810031</v>
      </c>
      <c r="E75" s="130">
        <f ca="1">E73/E72</f>
        <v>8.5228444911458059</v>
      </c>
      <c r="G75" s="281" t="s">
        <v>135</v>
      </c>
      <c r="H75" s="281"/>
      <c r="I75" s="281"/>
      <c r="J75" s="281"/>
      <c r="K75" s="281"/>
      <c r="L75" s="281"/>
      <c r="M75" s="281"/>
      <c r="N75" s="281"/>
    </row>
    <row r="76" spans="1:20" ht="56.25" customHeight="1" x14ac:dyDescent="0.25">
      <c r="B76" s="134">
        <f ca="1">B75/B48</f>
        <v>0.50520583818636799</v>
      </c>
      <c r="C76" s="135">
        <f ca="1">C75/C48</f>
        <v>0.40499419520296454</v>
      </c>
      <c r="D76" s="135">
        <f ca="1">D75/D48</f>
        <v>0.29906396123195345</v>
      </c>
      <c r="E76" s="136">
        <f ca="1">E75/E48</f>
        <v>0.15902099069003653</v>
      </c>
      <c r="G76" s="281" t="s">
        <v>181</v>
      </c>
      <c r="H76" s="281"/>
      <c r="I76" s="281"/>
      <c r="J76" s="281"/>
      <c r="K76" s="281"/>
      <c r="L76" s="281"/>
      <c r="M76" s="281"/>
      <c r="N76" s="281"/>
    </row>
    <row r="77" spans="1:20" ht="56.25" customHeight="1" x14ac:dyDescent="0.25">
      <c r="B77" s="128">
        <f>'LEAP Region'!T10*1000</f>
        <v>4348.8690884167236</v>
      </c>
      <c r="C77" s="129">
        <f>'LEAP Region'!U10*1000</f>
        <v>5952.7073337902666</v>
      </c>
      <c r="D77" s="129">
        <f>'LEAP Region'!V10*1000</f>
        <v>7525.7025359835498</v>
      </c>
      <c r="E77" s="130">
        <f>'LEAP Region'!W10*1000</f>
        <v>10239.89033584647</v>
      </c>
      <c r="G77" s="281" t="s">
        <v>138</v>
      </c>
      <c r="H77" s="281"/>
      <c r="I77" s="281"/>
      <c r="J77" s="281"/>
      <c r="K77" s="281"/>
      <c r="L77" s="281"/>
      <c r="M77" s="281"/>
      <c r="N77" s="281"/>
    </row>
    <row r="78" spans="1:20" ht="56.25" customHeight="1" x14ac:dyDescent="0.25">
      <c r="B78" s="128">
        <f ca="1">B77/B72</f>
        <v>6.9989760770578711</v>
      </c>
      <c r="C78" s="129">
        <f ca="1">C77/C72</f>
        <v>9.7094194282760728</v>
      </c>
      <c r="D78" s="129">
        <f ca="1">D77/D72</f>
        <v>12.381175737938413</v>
      </c>
      <c r="E78" s="130">
        <f ca="1">E77/E72</f>
        <v>17.148996188244901</v>
      </c>
      <c r="G78" s="281" t="s">
        <v>139</v>
      </c>
      <c r="H78" s="281"/>
      <c r="I78" s="281"/>
      <c r="J78" s="281"/>
      <c r="K78" s="281"/>
      <c r="L78" s="281"/>
      <c r="M78" s="281"/>
      <c r="N78" s="281"/>
    </row>
    <row r="79" spans="1:20" ht="56.25" customHeight="1" x14ac:dyDescent="0.25">
      <c r="B79" s="134">
        <f ca="1">B78/B48</f>
        <v>0.15553280171239714</v>
      </c>
      <c r="C79" s="135">
        <f ca="1">C78/C48</f>
        <v>0.20355176998482333</v>
      </c>
      <c r="D79" s="135">
        <f ca="1">D78/D48</f>
        <v>0.24487116288790817</v>
      </c>
      <c r="E79" s="136">
        <f ca="1">E78/E48</f>
        <v>0.31996950853995243</v>
      </c>
      <c r="G79" s="281" t="s">
        <v>141</v>
      </c>
      <c r="H79" s="281"/>
      <c r="I79" s="281"/>
      <c r="J79" s="281"/>
      <c r="K79" s="281"/>
      <c r="L79" s="281"/>
      <c r="M79" s="281"/>
      <c r="N79" s="281"/>
    </row>
    <row r="80" spans="1:20" ht="56.25" customHeight="1" x14ac:dyDescent="0.25">
      <c r="B80" s="149">
        <f>B43</f>
        <v>116.27827278958191</v>
      </c>
      <c r="C80" s="150">
        <f>C43</f>
        <v>655.03769705277625</v>
      </c>
      <c r="D80" s="150">
        <f>D43</f>
        <v>1193.7971213159706</v>
      </c>
      <c r="E80" s="151">
        <f>E43</f>
        <v>1732.5565455791648</v>
      </c>
      <c r="G80" s="281" t="s">
        <v>142</v>
      </c>
      <c r="H80" s="281"/>
      <c r="I80" s="281"/>
      <c r="J80" s="281"/>
      <c r="K80" s="281"/>
      <c r="L80" s="281"/>
      <c r="M80" s="281"/>
      <c r="N80" s="281"/>
    </row>
    <row r="81" spans="2:14" ht="56.25" customHeight="1" x14ac:dyDescent="0.25">
      <c r="B81" s="128">
        <f ca="1">B80/((0.7*B72)/2.4)</f>
        <v>0.64160826286949968</v>
      </c>
      <c r="C81" s="129">
        <f ca="1">C80/((0.75*C72)/2.6)</f>
        <v>3.7038817246239062</v>
      </c>
      <c r="D81" s="129">
        <f ca="1">D80/((0.8*D72)/2.8)</f>
        <v>6.8740614704407879</v>
      </c>
      <c r="E81" s="130">
        <f ca="1">E80/((0.85*E72)/3)</f>
        <v>10.240782557204225</v>
      </c>
      <c r="G81" s="281" t="s">
        <v>143</v>
      </c>
      <c r="H81" s="281"/>
      <c r="I81" s="281"/>
      <c r="J81" s="281"/>
      <c r="K81" s="281"/>
      <c r="L81" s="281"/>
      <c r="M81" s="281"/>
      <c r="N81" s="281"/>
    </row>
    <row r="82" spans="2:14" ht="56.25" customHeight="1" x14ac:dyDescent="0.25">
      <c r="B82" s="134">
        <f ca="1">B81/B48</f>
        <v>1.4257961397099993E-2</v>
      </c>
      <c r="C82" s="135">
        <f ca="1">C81/C48</f>
        <v>7.7649512046622765E-2</v>
      </c>
      <c r="D82" s="135">
        <f ca="1">D81/D48</f>
        <v>0.13595311638069671</v>
      </c>
      <c r="E82" s="136">
        <f ca="1">E81/E48</f>
        <v>0.19107463351932252</v>
      </c>
      <c r="G82" s="281" t="s">
        <v>144</v>
      </c>
      <c r="H82" s="281"/>
      <c r="I82" s="281"/>
      <c r="J82" s="281"/>
      <c r="K82" s="281"/>
      <c r="L82" s="281"/>
      <c r="M82" s="281"/>
      <c r="N82" s="281"/>
    </row>
    <row r="83" spans="2:14" ht="56.25" customHeight="1" x14ac:dyDescent="0.25">
      <c r="B83" s="149">
        <f>('LEAP Region'!T7+'LEAP Region'!T8)*1000</f>
        <v>9222.0699108978733</v>
      </c>
      <c r="C83" s="150">
        <f>('LEAP Region'!U7+'LEAP Region'!U8)*1000</f>
        <v>7957.5051405071963</v>
      </c>
      <c r="D83" s="150">
        <f>('LEAP Region'!V7+'LEAP Region'!V8)*1000</f>
        <v>6446.1960246744338</v>
      </c>
      <c r="E83" s="151">
        <f>('LEAP Region'!W7+'LEAP Region'!W8)*1000</f>
        <v>4102.12474297464</v>
      </c>
      <c r="G83" s="281" t="s">
        <v>145</v>
      </c>
      <c r="H83" s="281"/>
      <c r="I83" s="281"/>
      <c r="J83" s="281"/>
      <c r="K83" s="281"/>
      <c r="L83" s="281"/>
      <c r="M83" s="281"/>
      <c r="N83" s="281"/>
    </row>
    <row r="84" spans="2:14" ht="56.25" customHeight="1" x14ac:dyDescent="0.25">
      <c r="B84" s="128">
        <f ca="1">B83/B72</f>
        <v>14.841800333619172</v>
      </c>
      <c r="C84" s="129">
        <f ca="1">C83/C72</f>
        <v>12.979431152825009</v>
      </c>
      <c r="D84" s="129">
        <f ca="1">D83/D72</f>
        <v>10.605187414873477</v>
      </c>
      <c r="E84" s="130">
        <f ca="1">E83/E72</f>
        <v>6.8699291958932873</v>
      </c>
      <c r="G84" s="281" t="s">
        <v>147</v>
      </c>
      <c r="H84" s="281"/>
      <c r="I84" s="281"/>
      <c r="J84" s="281"/>
      <c r="K84" s="281"/>
      <c r="L84" s="281"/>
      <c r="M84" s="281"/>
      <c r="N84" s="281"/>
    </row>
    <row r="85" spans="2:14" ht="56.25" customHeight="1" x14ac:dyDescent="0.25">
      <c r="B85" s="134">
        <f ca="1">B84/B48</f>
        <v>0.32981778519153715</v>
      </c>
      <c r="C85" s="135">
        <f ca="1">C84/C48</f>
        <v>0.27210547490199177</v>
      </c>
      <c r="D85" s="135">
        <f ca="1">D84/D48</f>
        <v>0.2097462009982492</v>
      </c>
      <c r="E85" s="136">
        <f ca="1">E84/E48</f>
        <v>0.12818055613196885</v>
      </c>
      <c r="G85" s="281" t="s">
        <v>148</v>
      </c>
      <c r="H85" s="281"/>
      <c r="I85" s="281"/>
      <c r="J85" s="281"/>
      <c r="K85" s="281"/>
      <c r="L85" s="281"/>
      <c r="M85" s="281"/>
      <c r="N85" s="281"/>
    </row>
    <row r="87" spans="2:14" x14ac:dyDescent="0.25">
      <c r="B87" s="24"/>
      <c r="C87" s="24"/>
      <c r="D87" s="24"/>
      <c r="E87" s="24"/>
    </row>
    <row r="89" spans="2:14" x14ac:dyDescent="0.25">
      <c r="B89" s="21"/>
      <c r="C89" s="21"/>
      <c r="D89" s="21"/>
      <c r="E89" s="21"/>
    </row>
  </sheetData>
  <mergeCells count="56">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 ref="G58:N58"/>
    <mergeCell ref="G59:N59"/>
    <mergeCell ref="G57:N57"/>
    <mergeCell ref="G56:N56"/>
    <mergeCell ref="G55:N55"/>
    <mergeCell ref="G54:N54"/>
    <mergeCell ref="G49:N49"/>
    <mergeCell ref="G48:N48"/>
    <mergeCell ref="G47:N47"/>
    <mergeCell ref="G46:N46"/>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topLeftCell="A17" zoomScale="70" zoomScaleNormal="70" workbookViewId="0">
      <selection activeCell="F26" sqref="F26"/>
    </sheetView>
  </sheetViews>
  <sheetFormatPr defaultRowHeight="15" x14ac:dyDescent="0.25"/>
  <cols>
    <col min="1" max="1" width="5.28515625" customWidth="1"/>
    <col min="2" max="20" width="12" customWidth="1"/>
  </cols>
  <sheetData>
    <row r="2" spans="2:15" ht="21" x14ac:dyDescent="0.35">
      <c r="B2" s="52" t="s">
        <v>503</v>
      </c>
    </row>
    <row r="3" spans="2:15" ht="21" x14ac:dyDescent="0.35">
      <c r="B3" s="52"/>
    </row>
    <row r="4" spans="2:15" ht="22.5" customHeight="1" x14ac:dyDescent="0.25">
      <c r="B4" s="288" t="s">
        <v>504</v>
      </c>
      <c r="C4" s="289"/>
      <c r="D4" s="289"/>
      <c r="E4" s="289"/>
      <c r="F4" s="289"/>
      <c r="G4" s="289"/>
      <c r="H4" s="289"/>
      <c r="I4" s="289"/>
      <c r="J4" s="289"/>
      <c r="K4" s="289"/>
      <c r="L4" s="289"/>
      <c r="M4" s="289"/>
      <c r="N4" s="290"/>
    </row>
    <row r="5" spans="2:15" ht="22.5" customHeight="1" x14ac:dyDescent="0.25">
      <c r="B5" s="291"/>
      <c r="C5" s="292"/>
      <c r="D5" s="292"/>
      <c r="E5" s="292"/>
      <c r="F5" s="292"/>
      <c r="G5" s="292"/>
      <c r="H5" s="292"/>
      <c r="I5" s="292"/>
      <c r="J5" s="292"/>
      <c r="K5" s="292"/>
      <c r="L5" s="292"/>
      <c r="M5" s="292"/>
      <c r="N5" s="293"/>
    </row>
    <row r="6" spans="2:15" ht="22.5" customHeight="1" x14ac:dyDescent="0.25">
      <c r="B6" s="294"/>
      <c r="C6" s="295"/>
      <c r="D6" s="295"/>
      <c r="E6" s="295"/>
      <c r="F6" s="295"/>
      <c r="G6" s="295"/>
      <c r="H6" s="295"/>
      <c r="I6" s="295"/>
      <c r="J6" s="295"/>
      <c r="K6" s="295"/>
      <c r="L6" s="295"/>
      <c r="M6" s="295"/>
      <c r="N6" s="296"/>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97" t="s">
        <v>151</v>
      </c>
      <c r="N11" s="298"/>
      <c r="O11" s="299"/>
    </row>
    <row r="12" spans="2:15" x14ac:dyDescent="0.25">
      <c r="B12" s="1">
        <v>100</v>
      </c>
      <c r="C12" s="2" t="s">
        <v>103</v>
      </c>
      <c r="D12" s="2"/>
      <c r="E12" s="2"/>
      <c r="F12" s="2"/>
      <c r="G12" s="2"/>
      <c r="H12" s="2"/>
      <c r="I12" s="2"/>
      <c r="J12" s="2"/>
      <c r="K12" s="3"/>
      <c r="M12" s="300"/>
      <c r="N12" s="301"/>
      <c r="O12" s="302"/>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79.581395348837205</v>
      </c>
      <c r="C18" s="129">
        <f>'LEAP Region'!I26*1000</f>
        <v>2175.2248062015506</v>
      </c>
      <c r="D18" s="129">
        <f>'LEAP Region'!J26*1000</f>
        <v>6313.4573643410858</v>
      </c>
      <c r="E18" s="130">
        <f>'LEAP Region'!K26*1000</f>
        <v>12229.007751937985</v>
      </c>
      <c r="G18" s="281" t="s">
        <v>474</v>
      </c>
      <c r="H18" s="281"/>
      <c r="I18" s="281"/>
      <c r="J18" s="281"/>
      <c r="K18" s="281"/>
      <c r="L18" s="281"/>
      <c r="M18" s="281"/>
      <c r="N18" s="281"/>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281" t="s">
        <v>190</v>
      </c>
      <c r="H19" s="281"/>
      <c r="I19" s="281"/>
      <c r="J19" s="281"/>
      <c r="K19" s="281"/>
      <c r="L19" s="281"/>
      <c r="M19" s="281"/>
      <c r="N19" s="281"/>
      <c r="V19" t="s">
        <v>547</v>
      </c>
    </row>
    <row r="20" spans="2:22" ht="54.75" customHeight="1" x14ac:dyDescent="0.25">
      <c r="B20" s="128">
        <f>IF($F$22="adj",'1.Current Trans'!$O$13*B18/B19,B18/B19)</f>
        <v>5.5977534829193809</v>
      </c>
      <c r="C20" s="129">
        <f>IF($F$22="adj",'1.Current Trans'!$O$13*C18/C19,C18/C19)</f>
        <v>166.91483112705069</v>
      </c>
      <c r="D20" s="129">
        <f>IF($F$22="adj",'1.Current Trans'!$O$13*D18/D19,D18/D19)</f>
        <v>532.90613157392522</v>
      </c>
      <c r="E20" s="130">
        <f>IF($F$22="adj",'1.Current Trans'!$O$13*E18/E19,E18/E19)</f>
        <v>1146.91749138926</v>
      </c>
      <c r="G20" s="303" t="s">
        <v>106</v>
      </c>
      <c r="H20" s="303"/>
      <c r="I20" s="303"/>
      <c r="J20" s="303"/>
      <c r="K20" s="303"/>
      <c r="L20" s="303"/>
      <c r="M20" s="303"/>
      <c r="N20" s="303"/>
    </row>
    <row r="21" spans="2:22" ht="54.75" customHeight="1" x14ac:dyDescent="0.25">
      <c r="B21" s="131">
        <f>'1.Current Trans'!B9+'1.Current Trans'!B32</f>
        <v>1185</v>
      </c>
      <c r="C21" s="132">
        <f t="shared" ref="C21:E21" si="0">B21*1.125</f>
        <v>1333.125</v>
      </c>
      <c r="D21" s="132">
        <f t="shared" si="0"/>
        <v>1499.765625</v>
      </c>
      <c r="E21" s="133">
        <f t="shared" si="0"/>
        <v>1687.236328125</v>
      </c>
      <c r="G21" s="303" t="s">
        <v>189</v>
      </c>
      <c r="H21" s="303"/>
      <c r="I21" s="303"/>
      <c r="J21" s="303"/>
      <c r="K21" s="303"/>
      <c r="L21" s="303"/>
      <c r="M21" s="303"/>
      <c r="N21" s="303"/>
      <c r="O21" s="186">
        <f>(E21/B21)^(1/(E17-B17))-1</f>
        <v>1.014682216717655E-2</v>
      </c>
    </row>
    <row r="22" spans="2:22" ht="54.75" customHeight="1" x14ac:dyDescent="0.25">
      <c r="B22" s="134">
        <f>B20/B21</f>
        <v>4.7238426016197304E-3</v>
      </c>
      <c r="C22" s="135">
        <f>C20/C21</f>
        <v>0.12520568673384017</v>
      </c>
      <c r="D22" s="135">
        <f>D20/D21</f>
        <v>0.35532627411294698</v>
      </c>
      <c r="E22" s="136">
        <f>E20/E21</f>
        <v>0.67976102237189973</v>
      </c>
      <c r="F22" s="54" t="s">
        <v>545</v>
      </c>
      <c r="G22" s="303" t="s">
        <v>191</v>
      </c>
      <c r="H22" s="303"/>
      <c r="I22" s="303"/>
      <c r="J22" s="303"/>
      <c r="K22" s="303"/>
      <c r="L22" s="303"/>
      <c r="M22" s="303"/>
      <c r="N22" s="303"/>
    </row>
    <row r="23" spans="2:22" ht="54.75" customHeight="1" x14ac:dyDescent="0.25">
      <c r="B23" s="166">
        <f>('LEAP Region'!H24+'LEAP Region'!H25+'LEAP Region'!H27+'LEAP Region'!H28)*1000</f>
        <v>90696.263565891481</v>
      </c>
      <c r="C23" s="167">
        <f>('LEAP Region'!I24+'LEAP Region'!I25+'LEAP Region'!I27+'LEAP Region'!I28)*1000</f>
        <v>65071.0542635659</v>
      </c>
      <c r="D23" s="167">
        <f>('LEAP Region'!J24+'LEAP Region'!J25+'LEAP Region'!J27+'LEAP Region'!J28)*1000</f>
        <v>37164.511627906977</v>
      </c>
      <c r="E23" s="168">
        <f>('LEAP Region'!K24+'LEAP Region'!K25+'LEAP Region'!K27+'LEAP Region'!K28)*1000</f>
        <v>5172.7906976744189</v>
      </c>
      <c r="G23" s="281" t="s">
        <v>470</v>
      </c>
      <c r="H23" s="281"/>
      <c r="I23" s="281"/>
      <c r="J23" s="281"/>
      <c r="K23" s="281"/>
      <c r="L23" s="281"/>
      <c r="M23" s="281"/>
      <c r="N23" s="281"/>
    </row>
    <row r="24" spans="2:22" ht="54.75" customHeight="1" x14ac:dyDescent="0.25">
      <c r="B24" s="158">
        <f>res_share_state_target*('LEAP Statewide'!H25+'LEAP Statewide'!H28)*1000000/'2.Trans Targets'!B23</f>
        <v>0.12047528891144012</v>
      </c>
      <c r="C24" s="145">
        <f>res_share_state_target*('LEAP Statewide'!I25+'LEAP Statewide'!I28)*1000000/'2.Trans Targets'!C23</f>
        <v>0.12593916004531608</v>
      </c>
      <c r="D24" s="145">
        <f>res_share_state_target*('LEAP Statewide'!J25+'LEAP Statewide'!J28)*1000000/'2.Trans Targets'!D23</f>
        <v>0.1470039303312683</v>
      </c>
      <c r="E24" s="159">
        <f>res_share_state_target*('LEAP Statewide'!K25+'LEAP Statewide'!K28)*1000000/'2.Trans Targets'!E23</f>
        <v>0.52808334972847915</v>
      </c>
      <c r="G24" s="281" t="s">
        <v>192</v>
      </c>
      <c r="H24" s="281"/>
      <c r="I24" s="281"/>
      <c r="J24" s="281"/>
      <c r="K24" s="281"/>
      <c r="L24" s="281"/>
      <c r="M24" s="281"/>
      <c r="N24" s="281"/>
    </row>
    <row r="25" spans="2:22" ht="54.75" customHeight="1" x14ac:dyDescent="0.25">
      <c r="B25" s="128">
        <f>'1.Current Trans'!B26/'1.Current Trans'!B9</f>
        <v>75.07126772727274</v>
      </c>
      <c r="C25" s="129">
        <f>B25-(($B$25-$E$25)/3)</f>
        <v>64.194336818181824</v>
      </c>
      <c r="D25" s="129">
        <f>C25-(($B$25-$E$25)/3)</f>
        <v>53.317405909090908</v>
      </c>
      <c r="E25" s="169">
        <f>('1.Current Trans'!B9*'1.Current Trans'!B13/40)*'1.Current Trans'!B21/'1.Current Trans'!B9/1000000</f>
        <v>42.440474999999999</v>
      </c>
      <c r="G25" s="281" t="s">
        <v>193</v>
      </c>
      <c r="H25" s="281"/>
      <c r="I25" s="281"/>
      <c r="J25" s="281"/>
      <c r="K25" s="281"/>
      <c r="L25" s="281"/>
      <c r="M25" s="281"/>
      <c r="N25" s="281"/>
    </row>
    <row r="26" spans="2:22" ht="54.75" customHeight="1" x14ac:dyDescent="0.25">
      <c r="B26" s="128">
        <f>IF($F$22="adj",'1.Current Trans'!$O$13*B23/B25,B23/B25)</f>
        <v>1353.1117599189736</v>
      </c>
      <c r="C26" s="129">
        <f>IF($F$22="adj",'1.Current Trans'!$O$13*C23/C25,C23/C25)</f>
        <v>1135.2961084653195</v>
      </c>
      <c r="D26" s="129">
        <f>IF($F$22="adj",'1.Current Trans'!$O$13*D23/D25,D23/D25)</f>
        <v>780.6878881959758</v>
      </c>
      <c r="E26" s="130">
        <f>IF($F$22="adj",'1.Current Trans'!$O$13*E23/E25,E23/E25)</f>
        <v>136.50944249317072</v>
      </c>
      <c r="G26" s="303" t="s">
        <v>107</v>
      </c>
      <c r="H26" s="303"/>
      <c r="I26" s="303"/>
      <c r="J26" s="303"/>
      <c r="K26" s="303"/>
      <c r="L26" s="303"/>
      <c r="M26" s="303"/>
      <c r="N26" s="303"/>
    </row>
    <row r="27" spans="2:22" ht="54.75" customHeight="1" x14ac:dyDescent="0.25">
      <c r="B27" s="134">
        <f>B26/B21</f>
        <v>1.1418664640666443</v>
      </c>
      <c r="C27" s="135">
        <f>C26/C21</f>
        <v>0.85160514465284165</v>
      </c>
      <c r="D27" s="135">
        <f>D26/D21</f>
        <v>0.52053992649416525</v>
      </c>
      <c r="E27" s="136">
        <f>E26/E21</f>
        <v>8.0907126178862906E-2</v>
      </c>
      <c r="G27" s="303" t="s">
        <v>108</v>
      </c>
      <c r="H27" s="303"/>
      <c r="I27" s="303"/>
      <c r="J27" s="303"/>
      <c r="K27" s="303"/>
      <c r="L27" s="303"/>
      <c r="M27" s="303"/>
      <c r="N27" s="303"/>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L17" sqref="L17:L19"/>
    </sheetView>
  </sheetViews>
  <sheetFormatPr defaultRowHeight="15" x14ac:dyDescent="0.25"/>
  <cols>
    <col min="1" max="1" width="4.28515625" customWidth="1"/>
    <col min="2" max="14" width="13.28515625" customWidth="1"/>
  </cols>
  <sheetData>
    <row r="2" spans="2:14" ht="21" x14ac:dyDescent="0.35">
      <c r="B2" s="52" t="s">
        <v>498</v>
      </c>
    </row>
    <row r="4" spans="2:14" x14ac:dyDescent="0.25">
      <c r="B4" s="77">
        <v>2015</v>
      </c>
      <c r="C4" s="78">
        <v>2025</v>
      </c>
      <c r="D4" s="78">
        <v>2035</v>
      </c>
      <c r="E4" s="79">
        <v>2050</v>
      </c>
    </row>
    <row r="5" spans="2:14" s="126" customFormat="1" ht="45" customHeight="1" x14ac:dyDescent="0.2">
      <c r="B5" s="171">
        <f>'LEAP Region'!B49*1000000</f>
        <v>318325.58139534883</v>
      </c>
      <c r="C5" s="172">
        <f>'LEAP Region'!C49*1000000</f>
        <v>1485519.3798449612</v>
      </c>
      <c r="D5" s="172">
        <f>'LEAP Region'!D49*1000000</f>
        <v>2334387.5968992254</v>
      </c>
      <c r="E5" s="173">
        <f>'LEAP Region'!E49*1000000</f>
        <v>3422000</v>
      </c>
      <c r="G5" s="281" t="s">
        <v>186</v>
      </c>
      <c r="H5" s="281"/>
      <c r="I5" s="281"/>
      <c r="J5" s="281"/>
      <c r="K5" s="281"/>
      <c r="L5" s="281"/>
      <c r="M5" s="281"/>
      <c r="N5" s="281"/>
    </row>
    <row r="6" spans="2:14" s="126" customFormat="1" ht="45" customHeight="1" x14ac:dyDescent="0.2">
      <c r="B6" s="304">
        <v>400</v>
      </c>
      <c r="C6" s="305"/>
      <c r="D6" s="305"/>
      <c r="E6" s="306"/>
      <c r="G6" s="281" t="s">
        <v>475</v>
      </c>
      <c r="H6" s="281"/>
      <c r="I6" s="281"/>
      <c r="J6" s="281"/>
      <c r="K6" s="281"/>
      <c r="L6" s="281"/>
      <c r="M6" s="281"/>
      <c r="N6" s="281"/>
    </row>
    <row r="7" spans="2:14" s="126" customFormat="1" ht="45" customHeight="1" x14ac:dyDescent="0.2">
      <c r="B7" s="171">
        <f>B5/13/$B$6</f>
        <v>61.216457960644</v>
      </c>
      <c r="C7" s="172">
        <f>C5/13/$B$6</f>
        <v>285.67680381633869</v>
      </c>
      <c r="D7" s="172">
        <f>D5/13/$B$6</f>
        <v>448.92069171138951</v>
      </c>
      <c r="E7" s="172">
        <f>E5/13/$B$6</f>
        <v>658.07692307692309</v>
      </c>
      <c r="G7" s="281" t="s">
        <v>185</v>
      </c>
      <c r="H7" s="281"/>
      <c r="I7" s="281"/>
      <c r="J7" s="281"/>
      <c r="K7" s="281"/>
      <c r="L7" s="281"/>
      <c r="M7" s="281"/>
      <c r="N7" s="281"/>
    </row>
    <row r="8" spans="2:14" s="126" customFormat="1" ht="45" customHeight="1" x14ac:dyDescent="0.2">
      <c r="B8" s="36">
        <f>'2.Heat Targets'!B31*1.5</f>
        <v>907.5</v>
      </c>
      <c r="C8" s="36">
        <f>'2.Heat Targets'!C31*1.5</f>
        <v>961.95</v>
      </c>
      <c r="D8" s="36">
        <f>'2.Heat Targets'!D31*1.5</f>
        <v>1019.6670000000001</v>
      </c>
      <c r="E8" s="36">
        <f>'2.Heat Targets'!E31*1.5</f>
        <v>1080.8470200000002</v>
      </c>
      <c r="G8" s="281" t="s">
        <v>187</v>
      </c>
      <c r="H8" s="281"/>
      <c r="I8" s="281"/>
      <c r="J8" s="281"/>
      <c r="K8" s="281"/>
      <c r="L8" s="281"/>
      <c r="M8" s="281"/>
      <c r="N8" s="281"/>
    </row>
    <row r="9" spans="2:14" s="126" customFormat="1" ht="45" customHeight="1" x14ac:dyDescent="0.2">
      <c r="B9" s="174">
        <f>B7/B8</f>
        <v>6.7456152022748211E-2</v>
      </c>
      <c r="C9" s="175">
        <f>C7/C8</f>
        <v>0.2969767699114701</v>
      </c>
      <c r="D9" s="175">
        <f>D7/D8</f>
        <v>0.44026205782023881</v>
      </c>
      <c r="E9" s="176">
        <f>E7/E8</f>
        <v>0.60885297447267139</v>
      </c>
      <c r="G9" s="281" t="s">
        <v>188</v>
      </c>
      <c r="H9" s="281"/>
      <c r="I9" s="281"/>
      <c r="J9" s="281"/>
      <c r="K9" s="281"/>
      <c r="L9" s="281"/>
      <c r="M9" s="281"/>
      <c r="N9" s="281"/>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307"/>
      <c r="C17" s="307"/>
      <c r="D17" s="307"/>
      <c r="E17" s="307"/>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zoomScale="70" zoomScaleNormal="70" workbookViewId="0">
      <selection activeCell="W30" sqref="W30"/>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546</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ht="15.75" thickBot="1" x14ac:dyDescent="0.3">
      <c r="L15" s="22"/>
    </row>
    <row r="16" spans="1:25" ht="15.75" thickBot="1" x14ac:dyDescent="0.3">
      <c r="B16" s="21"/>
      <c r="C16" s="21"/>
      <c r="D16" s="21"/>
      <c r="E16" s="21"/>
      <c r="H16" s="21"/>
      <c r="I16" s="21"/>
      <c r="J16" s="21"/>
      <c r="K16" s="21"/>
      <c r="L16" s="22"/>
      <c r="M16" s="222"/>
      <c r="N16" s="222"/>
      <c r="O16" s="222"/>
      <c r="P16" s="222"/>
      <c r="Q16" s="223"/>
      <c r="R16" s="221"/>
    </row>
    <row r="17" spans="1:17" x14ac:dyDescent="0.25">
      <c r="B17" s="21"/>
      <c r="C17" s="21"/>
      <c r="D17" s="21"/>
      <c r="E17" s="21"/>
      <c r="H17" s="21"/>
      <c r="I17" s="21"/>
      <c r="J17" s="21"/>
      <c r="K17" s="30"/>
      <c r="L17" s="22"/>
      <c r="M17" s="222"/>
      <c r="N17" s="222"/>
      <c r="O17" s="222"/>
      <c r="P17" s="222"/>
      <c r="Q17" s="223"/>
    </row>
    <row r="18" spans="1:17" x14ac:dyDescent="0.25">
      <c r="B18" s="21"/>
      <c r="L18" s="22"/>
      <c r="M18" s="223"/>
      <c r="N18" s="223"/>
      <c r="O18" s="223"/>
      <c r="P18" s="223"/>
      <c r="Q18" s="223"/>
    </row>
    <row r="19" spans="1:17" x14ac:dyDescent="0.25">
      <c r="B19" s="21"/>
      <c r="C19" s="21"/>
      <c r="D19" s="21"/>
      <c r="E19" s="21"/>
      <c r="H19" s="21"/>
      <c r="I19" s="21"/>
      <c r="J19" s="21"/>
      <c r="K19" s="21"/>
      <c r="L19" s="22"/>
      <c r="M19" s="223"/>
      <c r="N19" s="224"/>
      <c r="O19" s="224"/>
      <c r="P19" s="224"/>
      <c r="Q19" s="224"/>
    </row>
    <row r="20" spans="1:17" x14ac:dyDescent="0.25">
      <c r="B20" s="21"/>
      <c r="C20" s="21"/>
      <c r="D20" s="21"/>
      <c r="E20" s="21"/>
      <c r="H20" s="23"/>
      <c r="I20" s="23"/>
      <c r="J20" s="23"/>
      <c r="K20" s="23"/>
      <c r="L20" s="22"/>
      <c r="M20" s="222"/>
      <c r="N20" s="224"/>
      <c r="O20" s="224"/>
      <c r="P20" s="224"/>
      <c r="Q20" s="224"/>
    </row>
    <row r="21" spans="1:17" x14ac:dyDescent="0.25">
      <c r="L21" s="22"/>
      <c r="M21" s="222"/>
      <c r="N21" s="224"/>
      <c r="O21" s="224"/>
      <c r="P21" s="224"/>
      <c r="Q21" s="224"/>
    </row>
    <row r="22" spans="1:17" ht="33.75" customHeight="1" x14ac:dyDescent="0.25">
      <c r="A22" s="231" t="s">
        <v>472</v>
      </c>
      <c r="B22" s="232"/>
      <c r="C22" s="232"/>
      <c r="D22" s="232"/>
      <c r="E22" s="233"/>
      <c r="G22" s="231" t="s">
        <v>473</v>
      </c>
      <c r="H22" s="232"/>
      <c r="I22" s="232"/>
      <c r="J22" s="232"/>
      <c r="K22" s="233"/>
      <c r="L22" s="22"/>
      <c r="M22" s="222"/>
      <c r="N22" s="224"/>
      <c r="O22" s="224"/>
      <c r="P22" s="224"/>
      <c r="Q22" s="224"/>
    </row>
    <row r="23" spans="1:17" x14ac:dyDescent="0.25">
      <c r="A23" s="14" t="s">
        <v>0</v>
      </c>
      <c r="B23" s="15">
        <v>2015</v>
      </c>
      <c r="C23" s="15">
        <v>2025</v>
      </c>
      <c r="D23" s="15">
        <v>2035</v>
      </c>
      <c r="E23" s="16">
        <v>2050</v>
      </c>
      <c r="G23" s="14" t="s">
        <v>0</v>
      </c>
      <c r="H23" s="15">
        <v>2015</v>
      </c>
      <c r="I23" s="15">
        <v>2025</v>
      </c>
      <c r="J23" s="15">
        <v>2035</v>
      </c>
      <c r="K23" s="16">
        <v>2050</v>
      </c>
      <c r="M23" s="222"/>
      <c r="N23" s="224"/>
      <c r="O23" s="224"/>
      <c r="P23" s="224"/>
      <c r="Q23" s="224"/>
    </row>
    <row r="24" spans="1:17" x14ac:dyDescent="0.25">
      <c r="A24" s="1" t="s">
        <v>21</v>
      </c>
      <c r="B24" s="4">
        <v>2912</v>
      </c>
      <c r="C24" s="4">
        <v>2370</v>
      </c>
      <c r="D24" s="4">
        <v>2020</v>
      </c>
      <c r="E24" s="5">
        <v>1696</v>
      </c>
      <c r="G24" s="1" t="s">
        <v>21</v>
      </c>
      <c r="H24" s="4">
        <v>2923</v>
      </c>
      <c r="I24" s="4">
        <v>2094</v>
      </c>
      <c r="J24" s="4">
        <v>1166</v>
      </c>
      <c r="K24" s="5">
        <v>91</v>
      </c>
      <c r="M24" s="222"/>
      <c r="N24" s="224"/>
      <c r="O24" s="224"/>
      <c r="P24" s="224"/>
      <c r="Q24" s="224"/>
    </row>
    <row r="25" spans="1:17" x14ac:dyDescent="0.25">
      <c r="A25" s="1" t="s">
        <v>22</v>
      </c>
      <c r="B25" s="4">
        <v>395</v>
      </c>
      <c r="C25" s="4">
        <v>319</v>
      </c>
      <c r="D25" s="4">
        <v>270</v>
      </c>
      <c r="E25" s="5">
        <v>224</v>
      </c>
      <c r="G25" s="1" t="s">
        <v>22</v>
      </c>
      <c r="H25" s="4">
        <v>390</v>
      </c>
      <c r="I25" s="4">
        <v>260</v>
      </c>
      <c r="J25" s="4">
        <v>141</v>
      </c>
      <c r="K25" s="5">
        <v>16</v>
      </c>
      <c r="M25" s="222"/>
      <c r="N25" s="224"/>
      <c r="O25" s="224"/>
      <c r="P25" s="224"/>
      <c r="Q25" s="224"/>
    </row>
    <row r="26" spans="1:17" x14ac:dyDescent="0.25">
      <c r="A26" s="1" t="s">
        <v>23</v>
      </c>
      <c r="B26" s="4">
        <v>3</v>
      </c>
      <c r="C26" s="4">
        <v>9</v>
      </c>
      <c r="D26" s="4">
        <v>14</v>
      </c>
      <c r="E26" s="5">
        <v>21</v>
      </c>
      <c r="G26" s="1" t="s">
        <v>23</v>
      </c>
      <c r="H26" s="4">
        <v>3</v>
      </c>
      <c r="I26" s="4">
        <v>82</v>
      </c>
      <c r="J26" s="4">
        <v>238</v>
      </c>
      <c r="K26" s="5">
        <v>461</v>
      </c>
      <c r="M26" s="222"/>
      <c r="N26" s="224"/>
      <c r="O26" s="224"/>
      <c r="P26" s="224"/>
      <c r="Q26" s="224"/>
    </row>
    <row r="27" spans="1:17" x14ac:dyDescent="0.25">
      <c r="A27" s="1" t="s">
        <v>20</v>
      </c>
      <c r="B27" s="4">
        <v>106</v>
      </c>
      <c r="C27" s="4">
        <v>100</v>
      </c>
      <c r="D27" s="4">
        <v>98</v>
      </c>
      <c r="E27" s="5">
        <v>97</v>
      </c>
      <c r="G27" s="1" t="s">
        <v>20</v>
      </c>
      <c r="H27" s="4">
        <v>98</v>
      </c>
      <c r="I27" s="4">
        <v>61</v>
      </c>
      <c r="J27" s="4">
        <v>33</v>
      </c>
      <c r="K27" s="5">
        <v>1</v>
      </c>
      <c r="M27" s="222"/>
      <c r="N27" s="224"/>
      <c r="O27" s="224"/>
      <c r="P27" s="224"/>
      <c r="Q27" s="224"/>
    </row>
    <row r="28" spans="1:17" x14ac:dyDescent="0.25">
      <c r="A28" s="1" t="s">
        <v>18</v>
      </c>
      <c r="B28" s="4">
        <v>1</v>
      </c>
      <c r="C28" s="4">
        <v>1</v>
      </c>
      <c r="D28" s="4">
        <v>1</v>
      </c>
      <c r="E28" s="5">
        <v>0</v>
      </c>
      <c r="G28" s="1" t="s">
        <v>18</v>
      </c>
      <c r="H28" s="4">
        <v>8</v>
      </c>
      <c r="I28" s="4">
        <v>38</v>
      </c>
      <c r="J28" s="4">
        <v>61</v>
      </c>
      <c r="K28" s="5">
        <v>87</v>
      </c>
      <c r="M28" s="222"/>
      <c r="N28" s="224"/>
      <c r="O28" s="224"/>
      <c r="P28" s="224"/>
      <c r="Q28" s="224"/>
    </row>
    <row r="29" spans="1:17" x14ac:dyDescent="0.25">
      <c r="A29" s="6" t="s">
        <v>24</v>
      </c>
      <c r="B29" s="18">
        <v>0</v>
      </c>
      <c r="C29" s="18">
        <v>0</v>
      </c>
      <c r="D29" s="18">
        <v>0</v>
      </c>
      <c r="E29" s="19">
        <v>0</v>
      </c>
      <c r="G29" s="1" t="s">
        <v>24</v>
      </c>
      <c r="H29" s="4">
        <v>0</v>
      </c>
      <c r="I29" s="4">
        <v>0</v>
      </c>
      <c r="J29" s="4">
        <v>0</v>
      </c>
      <c r="K29" s="5">
        <v>0</v>
      </c>
      <c r="M29" s="222"/>
      <c r="N29" s="225"/>
      <c r="O29" s="225"/>
      <c r="P29" s="225"/>
      <c r="Q29" s="225"/>
    </row>
    <row r="30" spans="1:17"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row>
    <row r="32" spans="1:17" ht="30" hidden="1" customHeight="1" x14ac:dyDescent="0.25"/>
    <row r="33" spans="1:17" ht="15" hidden="1" customHeight="1" x14ac:dyDescent="0.25">
      <c r="A33" t="s">
        <v>37</v>
      </c>
      <c r="G33" t="s">
        <v>38</v>
      </c>
    </row>
    <row r="34" spans="1:17" ht="15" hidden="1" customHeight="1" x14ac:dyDescent="0.25">
      <c r="A34" t="s">
        <v>0</v>
      </c>
      <c r="B34">
        <v>2015</v>
      </c>
      <c r="C34">
        <v>2025</v>
      </c>
      <c r="D34">
        <v>2035</v>
      </c>
      <c r="E34">
        <v>2050</v>
      </c>
      <c r="G34" t="s">
        <v>0</v>
      </c>
      <c r="H34">
        <v>2015</v>
      </c>
      <c r="I34">
        <v>2025</v>
      </c>
      <c r="J34">
        <v>2035</v>
      </c>
      <c r="K34">
        <v>2050</v>
      </c>
    </row>
    <row r="35" spans="1:17" ht="15" hidden="1" customHeight="1" x14ac:dyDescent="0.25">
      <c r="A35" t="s">
        <v>41</v>
      </c>
      <c r="B35">
        <v>0.3</v>
      </c>
      <c r="C35">
        <v>0.4</v>
      </c>
      <c r="D35">
        <v>0.5</v>
      </c>
      <c r="E35">
        <v>0.6</v>
      </c>
      <c r="G35" t="s">
        <v>41</v>
      </c>
      <c r="H35">
        <v>0.3</v>
      </c>
      <c r="I35">
        <v>0.4</v>
      </c>
      <c r="J35">
        <v>0.6</v>
      </c>
      <c r="K35">
        <v>0.7</v>
      </c>
    </row>
    <row r="36" spans="1:17" ht="15" hidden="1" customHeight="1" x14ac:dyDescent="0.25">
      <c r="A36" t="s">
        <v>26</v>
      </c>
      <c r="B36">
        <v>0.9</v>
      </c>
      <c r="C36">
        <v>1</v>
      </c>
      <c r="D36">
        <v>1.2</v>
      </c>
      <c r="E36">
        <v>1.5</v>
      </c>
      <c r="G36" t="s">
        <v>26</v>
      </c>
      <c r="H36">
        <v>0.9</v>
      </c>
      <c r="I36">
        <v>0.9</v>
      </c>
      <c r="J36">
        <v>1</v>
      </c>
      <c r="K36">
        <v>1.1000000000000001</v>
      </c>
    </row>
    <row r="37" spans="1:17" ht="15" hidden="1" customHeight="1" x14ac:dyDescent="0.25">
      <c r="A37" t="s">
        <v>39</v>
      </c>
      <c r="B37">
        <v>0.4</v>
      </c>
      <c r="C37">
        <v>0.4</v>
      </c>
      <c r="D37">
        <v>0.4</v>
      </c>
      <c r="E37">
        <v>0.3</v>
      </c>
      <c r="G37" t="s">
        <v>39</v>
      </c>
      <c r="H37">
        <v>0.5</v>
      </c>
      <c r="I37">
        <v>0.5</v>
      </c>
      <c r="J37">
        <v>0.4</v>
      </c>
      <c r="K37">
        <v>0.4</v>
      </c>
    </row>
    <row r="38" spans="1:17" ht="15" hidden="1" customHeight="1" x14ac:dyDescent="0.25">
      <c r="A38" t="s">
        <v>27</v>
      </c>
      <c r="B38">
        <v>0.1</v>
      </c>
      <c r="C38">
        <v>0.1</v>
      </c>
      <c r="D38">
        <v>0.1</v>
      </c>
      <c r="E38">
        <v>0.1</v>
      </c>
      <c r="G38" t="s">
        <v>27</v>
      </c>
      <c r="H38">
        <v>0.1</v>
      </c>
      <c r="I38">
        <v>0.1</v>
      </c>
      <c r="J38">
        <v>0.1</v>
      </c>
      <c r="K38">
        <v>0.1</v>
      </c>
    </row>
    <row r="39" spans="1:17" ht="15" hidden="1" customHeight="1" x14ac:dyDescent="0.25">
      <c r="A39" t="s">
        <v>28</v>
      </c>
      <c r="B39">
        <v>1.8</v>
      </c>
      <c r="C39">
        <v>1.6</v>
      </c>
      <c r="D39">
        <v>1.4</v>
      </c>
      <c r="E39">
        <v>1.3</v>
      </c>
      <c r="G39" t="s">
        <v>28</v>
      </c>
      <c r="H39">
        <v>1.7</v>
      </c>
      <c r="I39">
        <v>1.3</v>
      </c>
      <c r="J39">
        <v>0.9</v>
      </c>
      <c r="K39">
        <v>0.6</v>
      </c>
    </row>
    <row r="40" spans="1:17" ht="15" hidden="1" customHeight="1" x14ac:dyDescent="0.25">
      <c r="A40" t="s">
        <v>29</v>
      </c>
      <c r="B40">
        <v>2.5</v>
      </c>
      <c r="C40">
        <v>3.5</v>
      </c>
      <c r="D40">
        <v>4.5999999999999996</v>
      </c>
      <c r="E40">
        <v>6.1</v>
      </c>
      <c r="G40" t="s">
        <v>29</v>
      </c>
      <c r="H40">
        <v>2.1</v>
      </c>
      <c r="I40">
        <v>2.2000000000000002</v>
      </c>
      <c r="J40">
        <v>2.2000000000000002</v>
      </c>
      <c r="K40">
        <v>2.2000000000000002</v>
      </c>
    </row>
    <row r="41" spans="1:17" ht="15" hidden="1" customHeight="1" x14ac:dyDescent="0.25">
      <c r="A41" t="s">
        <v>40</v>
      </c>
      <c r="B41">
        <v>0.2</v>
      </c>
      <c r="C41">
        <v>0.2</v>
      </c>
      <c r="D41">
        <v>0.2</v>
      </c>
      <c r="E41">
        <v>0.2</v>
      </c>
      <c r="G41" t="s">
        <v>40</v>
      </c>
      <c r="H41">
        <v>0.2</v>
      </c>
      <c r="I41">
        <v>0.2</v>
      </c>
      <c r="J41">
        <v>0.2</v>
      </c>
      <c r="K41">
        <v>0.2</v>
      </c>
    </row>
    <row r="42" spans="1:17"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7" ht="15" hidden="1" customHeight="1" x14ac:dyDescent="0.25"/>
    <row r="44" spans="1:17" ht="15" hidden="1" customHeight="1" x14ac:dyDescent="0.25"/>
    <row r="45" spans="1:17" ht="16.5" hidden="1" customHeight="1" x14ac:dyDescent="0.25"/>
    <row r="46" spans="1:17" ht="0.75" customHeight="1" x14ac:dyDescent="0.25"/>
    <row r="47" spans="1:17" ht="33.75" customHeight="1" x14ac:dyDescent="0.25"/>
    <row r="48" spans="1:17" ht="58.5" customHeight="1" x14ac:dyDescent="0.25">
      <c r="A48" s="234" t="s">
        <v>184</v>
      </c>
      <c r="B48" s="17">
        <v>2015</v>
      </c>
      <c r="C48" s="17">
        <v>2025</v>
      </c>
      <c r="D48" s="17">
        <v>2035</v>
      </c>
      <c r="E48" s="17">
        <v>2050</v>
      </c>
      <c r="M48" s="223"/>
      <c r="N48" s="223"/>
      <c r="O48" s="223"/>
      <c r="P48" s="223"/>
      <c r="Q48" s="226"/>
    </row>
    <row r="49" spans="1:17" ht="89.25" customHeight="1" x14ac:dyDescent="0.25">
      <c r="A49" s="234"/>
      <c r="B49" s="214">
        <v>12</v>
      </c>
      <c r="C49" s="213">
        <v>56</v>
      </c>
      <c r="D49" s="213">
        <v>88</v>
      </c>
      <c r="E49" s="213">
        <v>129</v>
      </c>
      <c r="M49" s="223"/>
      <c r="N49" s="223"/>
      <c r="O49" s="223"/>
      <c r="P49" s="223"/>
      <c r="Q49" s="223"/>
    </row>
    <row r="50" spans="1:17" x14ac:dyDescent="0.25">
      <c r="M50" s="223"/>
      <c r="N50" s="223"/>
      <c r="O50" s="223"/>
      <c r="P50" s="223"/>
      <c r="Q50" s="223"/>
    </row>
    <row r="51" spans="1:17" x14ac:dyDescent="0.25">
      <c r="M51" s="223"/>
      <c r="N51" s="223"/>
      <c r="O51" s="223"/>
      <c r="P51" s="223"/>
      <c r="Q51" s="223"/>
    </row>
    <row r="52" spans="1:17" x14ac:dyDescent="0.25">
      <c r="M52" s="223"/>
      <c r="N52" s="223"/>
      <c r="O52" s="223"/>
      <c r="P52" s="223"/>
      <c r="Q52" s="223"/>
    </row>
    <row r="53" spans="1:17" x14ac:dyDescent="0.25">
      <c r="M53" s="223"/>
      <c r="N53" s="223"/>
      <c r="O53" s="223"/>
      <c r="P53" s="223"/>
      <c r="Q53" s="223"/>
    </row>
    <row r="54" spans="1:17" x14ac:dyDescent="0.25">
      <c r="M54" s="223"/>
      <c r="N54" s="223"/>
      <c r="O54" s="223"/>
      <c r="P54" s="223"/>
      <c r="Q54" s="223"/>
    </row>
    <row r="55" spans="1:17" x14ac:dyDescent="0.25">
      <c r="M55" s="223"/>
      <c r="N55" s="223"/>
      <c r="O55" s="223"/>
      <c r="P55" s="223"/>
      <c r="Q55" s="223"/>
    </row>
    <row r="56" spans="1:17" x14ac:dyDescent="0.25">
      <c r="M56" s="223"/>
      <c r="N56" s="223"/>
      <c r="O56" s="223"/>
      <c r="P56" s="223"/>
      <c r="Q56" s="223"/>
    </row>
    <row r="57" spans="1:17" x14ac:dyDescent="0.25">
      <c r="M57" s="223"/>
      <c r="N57" s="223"/>
      <c r="O57" s="223"/>
      <c r="P57" s="223"/>
      <c r="Q57" s="223"/>
    </row>
    <row r="58" spans="1:17" x14ac:dyDescent="0.25">
      <c r="M58" s="223"/>
      <c r="N58" s="223"/>
      <c r="O58" s="223"/>
      <c r="P58" s="223"/>
      <c r="Q58" s="223"/>
    </row>
    <row r="60" spans="1:17" ht="15.75" thickBot="1" x14ac:dyDescent="0.3"/>
    <row r="61" spans="1:17" ht="15.75" thickBot="1" x14ac:dyDescent="0.3">
      <c r="Q61" s="229"/>
    </row>
    <row r="62" spans="1:17" x14ac:dyDescent="0.25">
      <c r="M62" s="227"/>
      <c r="N62" s="228"/>
      <c r="O62" s="228"/>
      <c r="P62" s="228"/>
      <c r="Q62" s="228"/>
    </row>
    <row r="63" spans="1:17" x14ac:dyDescent="0.25">
      <c r="M63" s="223"/>
      <c r="N63" s="223"/>
      <c r="O63" s="223"/>
      <c r="P63" s="223"/>
      <c r="Q63" s="223"/>
    </row>
    <row r="64" spans="1:17" x14ac:dyDescent="0.25">
      <c r="M64" s="223"/>
      <c r="N64" s="223"/>
      <c r="O64" s="223"/>
      <c r="P64" s="223"/>
      <c r="Q64" s="223"/>
    </row>
    <row r="65" spans="13:17" x14ac:dyDescent="0.25">
      <c r="M65" s="223"/>
      <c r="N65" s="223"/>
      <c r="O65" s="223"/>
      <c r="P65" s="223"/>
      <c r="Q65" s="223"/>
    </row>
    <row r="66" spans="13:17" x14ac:dyDescent="0.25">
      <c r="M66" s="223"/>
      <c r="N66" s="223"/>
      <c r="O66" s="223"/>
      <c r="P66" s="223"/>
      <c r="Q66" s="223"/>
    </row>
    <row r="67" spans="13:17" x14ac:dyDescent="0.25">
      <c r="M67" s="223"/>
      <c r="N67" s="223"/>
      <c r="O67" s="223"/>
      <c r="P67" s="223"/>
      <c r="Q67" s="223"/>
    </row>
    <row r="68" spans="13:17" x14ac:dyDescent="0.25">
      <c r="M68" s="223"/>
      <c r="N68" s="223"/>
      <c r="O68" s="223"/>
      <c r="P68" s="223"/>
      <c r="Q68" s="223"/>
    </row>
    <row r="69" spans="13:17" x14ac:dyDescent="0.25">
      <c r="M69" s="230"/>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537</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31" t="s">
        <v>198</v>
      </c>
      <c r="B22" s="232"/>
      <c r="C22" s="232"/>
      <c r="D22" s="232"/>
      <c r="E22" s="233"/>
      <c r="G22" s="231" t="s">
        <v>199</v>
      </c>
      <c r="H22" s="232"/>
      <c r="I22" s="232"/>
      <c r="J22" s="232"/>
      <c r="K22" s="233"/>
      <c r="L22" s="22"/>
      <c r="M22" s="231" t="s">
        <v>35</v>
      </c>
      <c r="N22" s="232"/>
      <c r="O22" s="232"/>
      <c r="P22" s="232"/>
      <c r="Q22" s="233"/>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74.25" customHeight="1" x14ac:dyDescent="0.25">
      <c r="A49" s="234"/>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2017-05-02T16:25:41Z</dcterms:modified>
</cp:coreProperties>
</file>