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Coventry\"/>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9" i="198"/>
  <c r="P69" i="198"/>
  <c r="Q69"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P58" i="198"/>
  <c r="Q58" i="198"/>
  <c r="O58" i="198"/>
  <c r="N58"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E34" i="201"/>
  <c r="D34" i="201"/>
  <c r="G34" i="201" s="1"/>
  <c r="D33" i="201"/>
  <c r="G33" i="201" s="1"/>
  <c r="D32" i="201"/>
  <c r="G32" i="201" s="1"/>
  <c r="D31" i="201"/>
  <c r="G31" i="201" s="1"/>
  <c r="D30" i="201"/>
  <c r="G30" i="201" s="1"/>
  <c r="D29" i="201"/>
  <c r="G29" i="201" s="1"/>
  <c r="D28" i="201"/>
  <c r="G28" i="201" s="1"/>
  <c r="D27" i="201"/>
  <c r="G27" i="201" s="1"/>
  <c r="E26" i="201"/>
  <c r="D26" i="201"/>
  <c r="G26" i="201" s="1"/>
  <c r="D25" i="201"/>
  <c r="G25" i="201" s="1"/>
  <c r="D24" i="201"/>
  <c r="G24" i="201" s="1"/>
  <c r="D23" i="201"/>
  <c r="G23" i="201" s="1"/>
  <c r="G22" i="201"/>
  <c r="D22" i="201"/>
  <c r="G21" i="201"/>
  <c r="D21" i="201"/>
  <c r="D20" i="201"/>
  <c r="D19" i="201"/>
  <c r="G19" i="201" s="1"/>
  <c r="G18" i="201"/>
  <c r="D18" i="201"/>
  <c r="G17" i="201"/>
  <c r="E17" i="201"/>
  <c r="D17" i="201"/>
  <c r="D16" i="201"/>
  <c r="D15" i="201"/>
  <c r="G15" i="201" s="1"/>
  <c r="G14" i="201"/>
  <c r="D14" i="201"/>
  <c r="G13" i="201"/>
  <c r="D13" i="201"/>
  <c r="D12" i="201"/>
  <c r="D11" i="201"/>
  <c r="G11" i="201" s="1"/>
  <c r="G10" i="201"/>
  <c r="D10" i="201"/>
  <c r="E10" i="201" s="1"/>
  <c r="G9" i="201"/>
  <c r="D9" i="201"/>
  <c r="D8" i="201"/>
  <c r="E5" i="201"/>
  <c r="E4" i="201"/>
  <c r="D3" i="201"/>
  <c r="E3" i="201" s="1"/>
  <c r="C3" i="201"/>
  <c r="B3" i="201"/>
  <c r="G8" i="201" l="1"/>
  <c r="E8" i="201"/>
  <c r="H14" i="201"/>
  <c r="H19" i="201"/>
  <c r="E56" i="201"/>
  <c r="E54" i="201"/>
  <c r="E52" i="201"/>
  <c r="H52" i="201" s="1"/>
  <c r="E50" i="201"/>
  <c r="H50" i="201" s="1"/>
  <c r="E48" i="201"/>
  <c r="E46" i="201"/>
  <c r="E44" i="201"/>
  <c r="H44" i="201" s="1"/>
  <c r="E42" i="201"/>
  <c r="H42" i="201" s="1"/>
  <c r="H10" i="201"/>
  <c r="E13" i="201"/>
  <c r="H15" i="201"/>
  <c r="G20" i="201"/>
  <c r="H20" i="201" s="1"/>
  <c r="E20" i="201"/>
  <c r="E22" i="201"/>
  <c r="E24" i="201"/>
  <c r="H24" i="201" s="1"/>
  <c r="E32" i="201"/>
  <c r="E40" i="201"/>
  <c r="E9" i="201"/>
  <c r="H9" i="201" s="1"/>
  <c r="G16" i="201"/>
  <c r="H16" i="201" s="1"/>
  <c r="E16" i="201"/>
  <c r="E18" i="201"/>
  <c r="H18" i="201" s="1"/>
  <c r="H22" i="201"/>
  <c r="E30" i="201"/>
  <c r="E38" i="201"/>
  <c r="G12" i="201"/>
  <c r="E12" i="201"/>
  <c r="E14" i="201"/>
  <c r="E21" i="201"/>
  <c r="E28" i="201"/>
  <c r="H28" i="201" s="1"/>
  <c r="E36" i="201"/>
  <c r="H13" i="201"/>
  <c r="H17" i="201"/>
  <c r="H21" i="201"/>
  <c r="H27" i="201"/>
  <c r="H29" i="201"/>
  <c r="H35" i="201"/>
  <c r="H37" i="201"/>
  <c r="H43" i="201"/>
  <c r="H45" i="201"/>
  <c r="H51" i="201"/>
  <c r="H53" i="201"/>
  <c r="E11" i="201"/>
  <c r="H11" i="201" s="1"/>
  <c r="E15" i="201"/>
  <c r="E19" i="201"/>
  <c r="E23" i="201"/>
  <c r="H23" i="201" s="1"/>
  <c r="E25" i="201"/>
  <c r="H25" i="201" s="1"/>
  <c r="E27" i="201"/>
  <c r="E29" i="201"/>
  <c r="E31" i="201"/>
  <c r="H31" i="201" s="1"/>
  <c r="E33" i="201"/>
  <c r="H33" i="201" s="1"/>
  <c r="E35" i="201"/>
  <c r="E37" i="201"/>
  <c r="E39" i="201"/>
  <c r="H39" i="201" s="1"/>
  <c r="E41" i="201"/>
  <c r="H41" i="201" s="1"/>
  <c r="E43" i="201"/>
  <c r="E45" i="201"/>
  <c r="E47" i="201"/>
  <c r="H47" i="201" s="1"/>
  <c r="E49" i="201"/>
  <c r="H49" i="201" s="1"/>
  <c r="E51" i="201"/>
  <c r="E53" i="201"/>
  <c r="E55" i="201"/>
  <c r="H55" i="201" s="1"/>
  <c r="E57" i="201"/>
  <c r="H57" i="201" s="1"/>
  <c r="H26" i="201"/>
  <c r="H30" i="201"/>
  <c r="H32" i="201"/>
  <c r="H34" i="201"/>
  <c r="H36" i="201"/>
  <c r="H38" i="201"/>
  <c r="H40" i="201"/>
  <c r="H46" i="201"/>
  <c r="H48" i="201"/>
  <c r="H54" i="201"/>
  <c r="H56" i="201"/>
  <c r="H12" i="201" l="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P29" i="198"/>
  <c r="Q29" i="198"/>
  <c r="N2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O29" i="198" s="1"/>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S64" i="197"/>
  <c r="AE68" i="197"/>
  <c r="AA88" i="197"/>
  <c r="T96" i="197"/>
  <c r="AB112" i="197"/>
  <c r="S116" i="197"/>
  <c r="AE120" i="197"/>
  <c r="AA124" i="197"/>
  <c r="X128" i="197"/>
  <c r="S132" i="197"/>
  <c r="AB140" i="197"/>
  <c r="W144" i="197"/>
  <c r="AA145" i="197"/>
  <c r="T148" i="197"/>
  <c r="AE152" i="197"/>
  <c r="AA156" i="197"/>
  <c r="X160" i="197"/>
  <c r="S164" i="197"/>
  <c r="AB168" i="197"/>
  <c r="AB172" i="197"/>
  <c r="T176" i="197"/>
  <c r="AE176" i="197"/>
  <c r="T180" i="197"/>
  <c r="AE180" i="197"/>
  <c r="AD181" i="197"/>
  <c r="W184" i="197"/>
  <c r="V188" i="197"/>
  <c r="AD188" i="197"/>
  <c r="Y192" i="197"/>
  <c r="V196" i="197"/>
  <c r="AD196" i="197"/>
  <c r="Y200" i="197"/>
  <c r="V204" i="197"/>
  <c r="AD204" i="197"/>
  <c r="Y208" i="197"/>
  <c r="V212" i="197"/>
  <c r="AD212" i="197"/>
  <c r="Y216" i="197"/>
  <c r="V220" i="197"/>
  <c r="AD220" i="197"/>
  <c r="Y224" i="197"/>
  <c r="V228" i="197"/>
  <c r="AD228" i="197"/>
  <c r="Y232" i="197"/>
  <c r="T236" i="197"/>
  <c r="Y236" i="197"/>
  <c r="AD236" i="197"/>
  <c r="X237" i="197"/>
  <c r="V240" i="197"/>
  <c r="AB240" i="197"/>
  <c r="V244" i="197"/>
  <c r="AB244" i="197"/>
  <c r="U245" i="197"/>
  <c r="X248" i="197"/>
  <c r="AC248" i="197"/>
  <c r="R12" i="197"/>
  <c r="R28" i="197"/>
  <c r="R44" i="197"/>
  <c r="R60" i="197"/>
  <c r="R76" i="197"/>
  <c r="R92" i="197"/>
  <c r="R108"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U235" i="197" l="1"/>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9" i="186"/>
  <c r="F37" i="186"/>
  <c r="F35" i="186"/>
  <c r="F33" i="186"/>
  <c r="F32" i="186"/>
  <c r="F29" i="186"/>
  <c r="F28" i="186"/>
  <c r="F27" i="186"/>
  <c r="E41" i="186"/>
  <c r="F38" i="186" s="1"/>
  <c r="F31" i="186" l="1"/>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B83" i="188" s="1"/>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D73" i="188" l="1"/>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<sst xmlns="http://schemas.openxmlformats.org/spreadsheetml/2006/main" count="1659" uniqueCount="573">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</sst>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224</c:v>
                </c:pt>
                <c:pt idx="1">
                  <c:v>800</c:v>
                </c:pt>
                <c:pt idx="2">
                  <c:v>1312</c:v>
                </c:pt>
                <c:pt idx="3">
                  <c:v>2032</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29744</c:v>
                </c:pt>
                <c:pt idx="1">
                  <c:v>23520</c:v>
                </c:pt>
                <c:pt idx="2">
                  <c:v>18048</c:v>
                </c:pt>
                <c:pt idx="3">
                  <c:v>12000</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3312.0000000000005</c:v>
                </c:pt>
                <c:pt idx="1">
                  <c:v>2992</c:v>
                </c:pt>
                <c:pt idx="2">
                  <c:v>1632.0000000000002</c:v>
                </c:pt>
                <c:pt idx="3">
                  <c:v>496</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368</c:v>
                </c:pt>
                <c:pt idx="1">
                  <c:v>1760</c:v>
                </c:pt>
                <c:pt idx="2">
                  <c:v>3600</c:v>
                </c:pt>
                <c:pt idx="3">
                  <c:v>4320</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256</c:v>
                </c:pt>
                <c:pt idx="1">
                  <c:v>736</c:v>
                </c:pt>
                <c:pt idx="2">
                  <c:v>1440</c:v>
                </c:pt>
                <c:pt idx="3">
                  <c:v>2016</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1920</c:v>
                </c:pt>
                <c:pt idx="1">
                  <c:v>2224</c:v>
                </c:pt>
                <c:pt idx="2">
                  <c:v>2576</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11312</c:v>
                </c:pt>
                <c:pt idx="1">
                  <c:v>8848</c:v>
                </c:pt>
                <c:pt idx="2">
                  <c:v>5664</c:v>
                </c:pt>
                <c:pt idx="3">
                  <c:v>1984</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27104</c:v>
                </c:pt>
                <c:pt idx="1">
                  <c:v>18208.000000000004</c:v>
                </c:pt>
                <c:pt idx="2">
                  <c:v>9616</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5056</c:v>
                </c:pt>
                <c:pt idx="1">
                  <c:v>5648</c:v>
                </c:pt>
                <c:pt idx="2">
                  <c:v>5072</c:v>
                </c:pt>
                <c:pt idx="3">
                  <c:v>4736</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2096</c:v>
                </c:pt>
                <c:pt idx="1">
                  <c:v>3504</c:v>
                </c:pt>
                <c:pt idx="2">
                  <c:v>7424</c:v>
                </c:pt>
                <c:pt idx="3">
                  <c:v>10896</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591967440"/>
        <c:axId val="591967768"/>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5919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768"/>
        <c:crosses val="autoZero"/>
        <c:auto val="1"/>
        <c:lblAlgn val="ctr"/>
        <c:lblOffset val="100"/>
        <c:noMultiLvlLbl val="0"/>
      </c:catAx>
      <c:valAx>
        <c:axId val="59196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440"/>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64</c:v>
                </c:pt>
                <c:pt idx="1">
                  <c:v>392</c:v>
                </c:pt>
                <c:pt idx="2">
                  <c:v>736</c:v>
                </c:pt>
                <c:pt idx="3">
                  <c:v>1312</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3264.0000000000005</c:v>
                </c:pt>
                <c:pt idx="1">
                  <c:v>2432</c:v>
                </c:pt>
                <c:pt idx="2">
                  <c:v>1496</c:v>
                </c:pt>
                <c:pt idx="3">
                  <c:v>8</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5952</c:v>
                </c:pt>
                <c:pt idx="1">
                  <c:v>5896</c:v>
                </c:pt>
                <c:pt idx="2">
                  <c:v>5712</c:v>
                </c:pt>
                <c:pt idx="3">
                  <c:v>5536.0000000000009</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2392</c:v>
                </c:pt>
                <c:pt idx="1">
                  <c:v>2064</c:v>
                </c:pt>
                <c:pt idx="2">
                  <c:v>1672</c:v>
                </c:pt>
                <c:pt idx="3">
                  <c:v>1064</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336</c:v>
                </c:pt>
                <c:pt idx="1">
                  <c:v>248</c:v>
                </c:pt>
                <c:pt idx="2">
                  <c:v>152</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1128</c:v>
                </c:pt>
                <c:pt idx="1">
                  <c:v>1544</c:v>
                </c:pt>
                <c:pt idx="2">
                  <c:v>1952</c:v>
                </c:pt>
                <c:pt idx="3">
                  <c:v>2656</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112</c:v>
                </c:pt>
                <c:pt idx="1">
                  <c:v>696.00000000000011</c:v>
                </c:pt>
                <c:pt idx="2">
                  <c:v>1320</c:v>
                </c:pt>
                <c:pt idx="3">
                  <c:v>2344</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630624616"/>
        <c:axId val="630625928"/>
      </c:barChart>
      <c:catAx>
        <c:axId val="63062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5928"/>
        <c:crosses val="autoZero"/>
        <c:auto val="1"/>
        <c:lblAlgn val="ctr"/>
        <c:lblOffset val="100"/>
        <c:noMultiLvlLbl val="0"/>
      </c:catAx>
      <c:valAx>
        <c:axId val="6306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4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49691</c:v>
                </c:pt>
                <c:pt idx="1">
                  <c:v>35598.000000000007</c:v>
                </c:pt>
                <c:pt idx="2">
                  <c:v>19822.000000000004</c:v>
                </c:pt>
                <c:pt idx="3">
                  <c:v>1547.0000000000002</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6630.0000000000009</c:v>
                </c:pt>
                <c:pt idx="1">
                  <c:v>4420</c:v>
                </c:pt>
                <c:pt idx="2">
                  <c:v>2397.0000000000005</c:v>
                </c:pt>
                <c:pt idx="3">
                  <c:v>272</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51.000000000000007</c:v>
                </c:pt>
                <c:pt idx="1">
                  <c:v>1394.0000000000002</c:v>
                </c:pt>
                <c:pt idx="2">
                  <c:v>4046.0000000000005</c:v>
                </c:pt>
                <c:pt idx="3">
                  <c:v>7837.0000000000009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1666.0000000000002</c:v>
                </c:pt>
                <c:pt idx="1">
                  <c:v>1037.0000000000002</c:v>
                </c:pt>
                <c:pt idx="2">
                  <c:v>561</c:v>
                </c:pt>
                <c:pt idx="3">
                  <c:v>17</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136</c:v>
                </c:pt>
                <c:pt idx="1">
                  <c:v>646</c:v>
                </c:pt>
                <c:pt idx="2">
                  <c:v>1037.0000000000002</c:v>
                </c:pt>
                <c:pt idx="3">
                  <c:v>1479</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4488</c:v>
                </c:pt>
                <c:pt idx="2">
                  <c:v>12988.000000000002</c:v>
                </c:pt>
                <c:pt idx="3">
                  <c:v>23494.000000000004</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623889856"/>
        <c:axId val="623884936"/>
      </c:barChart>
      <c:catAx>
        <c:axId val="6238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4936"/>
        <c:crosses val="autoZero"/>
        <c:auto val="1"/>
        <c:lblAlgn val="ctr"/>
        <c:lblOffset val="100"/>
        <c:noMultiLvlLbl val="0"/>
      </c:catAx>
      <c:valAx>
        <c:axId val="62388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9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0.15418977645372134</v>
      </c>
      <c r="I4" s="4">
        <f>res_share_state_target*'LEAP Statewide'!I4</f>
        <v>0.93231027623180351</v>
      </c>
      <c r="J4" s="4">
        <f>res_share_state_target*'LEAP Statewide'!J4</f>
        <v>1.7588391941988446</v>
      </c>
      <c r="K4" s="5">
        <f>res_share_state_target*'LEAP Statewide'!K4</f>
        <v>3.2379853055281482</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3.1250355458734926E-2</v>
      </c>
      <c r="U4" s="4">
        <f ca="1">com_share_state_target*'LEAP Statewide'!U4</f>
        <v>0.19539057199442031</v>
      </c>
      <c r="V4" s="4">
        <f ca="1">com_share_state_target*'LEAP Statewide'!V4</f>
        <v>0.36658487362151915</v>
      </c>
      <c r="W4" s="5">
        <f ca="1">com_share_state_target*'LEAP Statewide'!W4</f>
        <v>0.65185814274846576</v>
      </c>
      <c r="Y4" s="23"/>
    </row>
    <row r="5" spans="1:25" x14ac:dyDescent="0.25">
      <c r="A5" s="1" t="s">
        <v>3</v>
      </c>
      <c r="B5" s="4">
        <f>res_share_state_target*'LEAP Statewide'!B5</f>
        <v>13.588422276078536</v>
      </c>
      <c r="C5" s="4">
        <f>res_share_state_target*'LEAP Statewide'!C5</f>
        <v>12.518058362789331</v>
      </c>
      <c r="D5" s="4">
        <f>res_share_state_target*'LEAP Statewide'!D5</f>
        <v>11.648499739765438</v>
      </c>
      <c r="E5" s="5">
        <f>res_share_state_target*'LEAP Statewide'!E5</f>
        <v>10.54944935643833</v>
      </c>
      <c r="G5" s="1" t="s">
        <v>3</v>
      </c>
      <c r="H5" s="4">
        <f>res_share_state_target*'LEAP Statewide'!H5</f>
        <v>13.629659076758019</v>
      </c>
      <c r="I5" s="4">
        <f>res_share_state_target*'LEAP Statewide'!I5</f>
        <v>12.794165636904134</v>
      </c>
      <c r="J5" s="4">
        <f>res_share_state_target*'LEAP Statewide'!J5</f>
        <v>11.944328962031298</v>
      </c>
      <c r="K5" s="5">
        <f>res_share_state_target*'LEAP Statewide'!K5</f>
        <v>11.374185370028002</v>
      </c>
      <c r="L5" s="21"/>
      <c r="M5" s="1" t="s">
        <v>14</v>
      </c>
      <c r="N5" s="4">
        <f ca="1">com_share_state_target*'LEAP Statewide'!N5</f>
        <v>2.938443617649007</v>
      </c>
      <c r="O5" s="4">
        <f ca="1">com_share_state_target*'LEAP Statewide'!O5</f>
        <v>2.3741168103359298</v>
      </c>
      <c r="P5" s="4">
        <f ca="1">com_share_state_target*'LEAP Statewide'!P5</f>
        <v>1.7240790766433125</v>
      </c>
      <c r="Q5" s="5">
        <f ca="1">com_share_state_target*'LEAP Statewide'!Q5</f>
        <v>0.70389150159480596</v>
      </c>
      <c r="R5" s="2"/>
      <c r="S5" s="1" t="s">
        <v>14</v>
      </c>
      <c r="T5" s="4">
        <f ca="1">com_share_state_target*'LEAP Statewide'!T5</f>
        <v>2.9062072072850209</v>
      </c>
      <c r="U5" s="4">
        <f ca="1">com_share_state_target*'LEAP Statewide'!U5</f>
        <v>2.1737959638152526</v>
      </c>
      <c r="V5" s="4">
        <f ca="1">com_share_state_target*'LEAP Statewide'!V5</f>
        <v>1.3480887562332422</v>
      </c>
      <c r="W5" s="5">
        <f ca="1">com_share_state_target*'LEAP Statewide'!W5</f>
        <v>3.5194575079740296E-2</v>
      </c>
      <c r="Y5" s="92"/>
    </row>
    <row r="6" spans="1:25" x14ac:dyDescent="0.25">
      <c r="A6" s="1" t="s">
        <v>4</v>
      </c>
      <c r="B6" s="4">
        <f>res_share_state_target*'LEAP Statewide'!B6</f>
        <v>2.0618400339741809</v>
      </c>
      <c r="C6" s="4">
        <f>res_share_state_target*'LEAP Statewide'!C6</f>
        <v>1.6709868797077709</v>
      </c>
      <c r="D6" s="4">
        <f>res_share_state_target*'LEAP Statewide'!D6</f>
        <v>1.1384942796292217</v>
      </c>
      <c r="E6" s="5">
        <f>res_share_state_target*'LEAP Statewide'!E6</f>
        <v>0.45001899871958206</v>
      </c>
      <c r="G6" s="1" t="s">
        <v>4</v>
      </c>
      <c r="H6" s="4">
        <f>res_share_state_target*'LEAP Statewide'!H6</f>
        <v>2.0743903646157626</v>
      </c>
      <c r="I6" s="4">
        <f>res_share_state_target*'LEAP Statewide'!I6</f>
        <v>1.7032591585004102</v>
      </c>
      <c r="J6" s="4">
        <f>res_share_state_target*'LEAP Statewide'!J6</f>
        <v>0.99147612068497559</v>
      </c>
      <c r="K6" s="5">
        <f>res_share_state_target*'LEAP Statewide'!K6</f>
        <v>0.32092988354902469</v>
      </c>
      <c r="L6" s="21"/>
      <c r="M6" s="1" t="s">
        <v>15</v>
      </c>
      <c r="N6" s="89">
        <f ca="1">com_share_state_target*'LEAP Statewide'!N6</f>
        <v>5.3990298581377472</v>
      </c>
      <c r="O6" s="89">
        <f ca="1">com_share_state_target*'LEAP Statewide'!O6</f>
        <v>5.4551591373597468</v>
      </c>
      <c r="P6" s="89">
        <f ca="1">com_share_state_target*'LEAP Statewide'!P6</f>
        <v>5.4043393845506387</v>
      </c>
      <c r="Q6" s="90">
        <f ca="1">com_share_state_target*'LEAP Statewide'!Q6</f>
        <v>5.4293700090685579</v>
      </c>
      <c r="R6" s="4"/>
      <c r="S6" s="1" t="s">
        <v>15</v>
      </c>
      <c r="T6" s="89">
        <f ca="1">com_share_state_target*'LEAP Statewide'!T6</f>
        <v>5.3989540077604197</v>
      </c>
      <c r="U6" s="89">
        <f ca="1">com_share_state_target*'LEAP Statewide'!U6</f>
        <v>5.4549315862277652</v>
      </c>
      <c r="V6" s="89">
        <f ca="1">com_share_state_target*'LEAP Statewide'!V6</f>
        <v>5.4040359830413314</v>
      </c>
      <c r="W6" s="90">
        <f ca="1">com_share_state_target*'LEAP Statewide'!W6</f>
        <v>5.4296734105778652</v>
      </c>
      <c r="Y6" s="92"/>
    </row>
    <row r="7" spans="1:25" x14ac:dyDescent="0.25">
      <c r="A7" s="1" t="s">
        <v>5</v>
      </c>
      <c r="B7" s="4">
        <f>res_share_state_target*'LEAP Statewide'!B7</f>
        <v>0.20797690777478695</v>
      </c>
      <c r="C7" s="4">
        <f>res_share_state_target*'LEAP Statewide'!C7</f>
        <v>1.1707665584218609</v>
      </c>
      <c r="D7" s="4">
        <f>res_share_state_target*'LEAP Statewide'!D7</f>
        <v>2.2070652885410578</v>
      </c>
      <c r="E7" s="5">
        <f>res_share_state_target*'LEAP Statewide'!E7</f>
        <v>3.0443516327723121</v>
      </c>
      <c r="G7" s="1" t="s">
        <v>5</v>
      </c>
      <c r="H7" s="4">
        <f>res_share_state_target*'LEAP Statewide'!H7</f>
        <v>0.36395958860587713</v>
      </c>
      <c r="I7" s="4">
        <f>res_share_state_target*'LEAP Statewide'!I7</f>
        <v>2.0385322770683856</v>
      </c>
      <c r="J7" s="4">
        <f>res_share_state_target*'LEAP Statewide'!J7</f>
        <v>3.9372180127020009</v>
      </c>
      <c r="K7" s="5">
        <f>res_share_state_target*'LEAP Statewide'!K7</f>
        <v>5.4235357415407801</v>
      </c>
      <c r="M7" s="1" t="s">
        <v>8</v>
      </c>
      <c r="N7" s="4">
        <f ca="1">com_share_state_target*'LEAP Statewide'!N7</f>
        <v>2.197385431163958</v>
      </c>
      <c r="O7" s="4">
        <f ca="1">com_share_state_target*'LEAP Statewide'!O7</f>
        <v>2.2565487254790386</v>
      </c>
      <c r="P7" s="4">
        <f ca="1">com_share_state_target*'LEAP Statewide'!P7</f>
        <v>2.2732358084909845</v>
      </c>
      <c r="Q7" s="5">
        <f ca="1">com_share_state_target*'LEAP Statewide'!Q7</f>
        <v>2.3468106744982</v>
      </c>
      <c r="R7" s="4"/>
      <c r="S7" s="1" t="s">
        <v>8</v>
      </c>
      <c r="T7" s="4">
        <f ca="1">com_share_state_target*'LEAP Statewide'!T7</f>
        <v>2.135263972133123</v>
      </c>
      <c r="U7" s="4">
        <f ca="1">com_share_state_target*'LEAP Statewide'!U7</f>
        <v>1.8656917311128709</v>
      </c>
      <c r="V7" s="4">
        <f ca="1">com_share_state_target*'LEAP Statewide'!V7</f>
        <v>1.5402177620026003</v>
      </c>
      <c r="W7" s="5">
        <f ca="1">com_share_state_target*'LEAP Statewide'!W7</f>
        <v>1.0429426882466144</v>
      </c>
      <c r="Y7" s="92"/>
    </row>
    <row r="8" spans="1:25" x14ac:dyDescent="0.25">
      <c r="A8" s="1" t="s">
        <v>6</v>
      </c>
      <c r="B8" s="4">
        <f>res_share_state_target*'LEAP Statewide'!B8</f>
        <v>2.3307756905795087E-2</v>
      </c>
      <c r="C8" s="4">
        <f>res_share_state_target*'LEAP Statewide'!C8</f>
        <v>0.17211882022740987</v>
      </c>
      <c r="D8" s="4">
        <f>res_share_state_target*'LEAP Statewide'!D8</f>
        <v>0.58627973139961487</v>
      </c>
      <c r="E8" s="5">
        <f>res_share_state_target*'LEAP Statewide'!E8</f>
        <v>1.2173820722334512</v>
      </c>
      <c r="G8" s="1" t="s">
        <v>6</v>
      </c>
      <c r="H8" s="4">
        <f>res_share_state_target*'LEAP Statewide'!H8</f>
        <v>0.10040264513265576</v>
      </c>
      <c r="I8" s="4">
        <f>res_share_state_target*'LEAP Statewide'!I8</f>
        <v>0.62393072332436084</v>
      </c>
      <c r="J8" s="4">
        <f>res_share_state_target*'LEAP Statewide'!J8</f>
        <v>1.3572286136682217</v>
      </c>
      <c r="K8" s="5">
        <f>res_share_state_target*'LEAP Statewide'!K8</f>
        <v>2.251887897975279</v>
      </c>
      <c r="M8" s="1" t="s">
        <v>9</v>
      </c>
      <c r="N8" s="4">
        <f ca="1">com_share_state_target*'LEAP Statewide'!N8</f>
        <v>2.11698403119731</v>
      </c>
      <c r="O8" s="4">
        <f ca="1">com_share_state_target*'LEAP Statewide'!O8</f>
        <v>2.5713277913861985</v>
      </c>
      <c r="P8" s="4">
        <f ca="1">com_share_state_target*'LEAP Statewide'!P8</f>
        <v>3.00443344592352</v>
      </c>
      <c r="Q8" s="5">
        <f ca="1">com_share_state_target*'LEAP Statewide'!Q8</f>
        <v>3.7674882418334068</v>
      </c>
      <c r="R8" s="4"/>
      <c r="S8" s="1" t="s">
        <v>9</v>
      </c>
      <c r="T8" s="4">
        <f ca="1">com_share_state_target*'LEAP Statewide'!T8</f>
        <v>1.9629319148461191</v>
      </c>
      <c r="U8" s="4">
        <f ca="1">com_share_state_target*'LEAP Statewide'!U8</f>
        <v>1.6082555504649432</v>
      </c>
      <c r="V8" s="4">
        <f ca="1">com_share_state_target*'LEAP Statewide'!V8</f>
        <v>1.1971465053524593</v>
      </c>
      <c r="W8" s="5">
        <f ca="1">com_share_state_target*'LEAP Statewide'!W8</f>
        <v>0.55401115599660156</v>
      </c>
      <c r="Y8" s="23"/>
    </row>
    <row r="9" spans="1:25" x14ac:dyDescent="0.25">
      <c r="A9" s="1" t="s">
        <v>7</v>
      </c>
      <c r="B9" s="4">
        <f>res_share_state_target*'LEAP Statewide'!B9</f>
        <v>1.7444959591798939</v>
      </c>
      <c r="C9" s="4">
        <f>res_share_state_target*'LEAP Statewide'!C9</f>
        <v>1.4002583187250741</v>
      </c>
      <c r="D9" s="4">
        <f>res_share_state_target*'LEAP Statewide'!D9</f>
        <v>1.0685710089118363</v>
      </c>
      <c r="E9" s="5">
        <f>res_share_state_target*'LEAP Statewide'!E9</f>
        <v>0.52890679132381158</v>
      </c>
      <c r="G9" s="1" t="s">
        <v>7</v>
      </c>
      <c r="H9" s="4">
        <f>res_share_state_target*'LEAP Statewide'!H9</f>
        <v>1.7122236803872546</v>
      </c>
      <c r="I9" s="4">
        <f>res_share_state_target*'LEAP Statewide'!I9</f>
        <v>1.2335182116297707</v>
      </c>
      <c r="J9" s="4">
        <f>res_share_state_target*'LEAP Statewide'!J9</f>
        <v>0.76557016913650022</v>
      </c>
      <c r="K9" s="5">
        <f>res_share_state_target*'LEAP Statewide'!K9</f>
        <v>0</v>
      </c>
      <c r="L9" s="21"/>
      <c r="M9" s="1" t="s">
        <v>16</v>
      </c>
      <c r="N9" s="4">
        <f ca="1">com_share_state_target*'LEAP Statewide'!N9</f>
        <v>0.29809198289521416</v>
      </c>
      <c r="O9" s="4">
        <f ca="1">com_share_state_target*'LEAP Statewide'!O9</f>
        <v>0.22224160556818767</v>
      </c>
      <c r="P9" s="4">
        <f ca="1">com_share_state_target*'LEAP Statewide'!P9</f>
        <v>0.13653067918864772</v>
      </c>
      <c r="Q9" s="5">
        <f ca="1">com_share_state_target*'LEAP Statewide'!Q9</f>
        <v>0</v>
      </c>
      <c r="R9" s="2"/>
      <c r="S9" s="1" t="s">
        <v>16</v>
      </c>
      <c r="T9" s="4">
        <f ca="1">com_share_state_target*'LEAP Statewide'!T9</f>
        <v>0.29786443176323307</v>
      </c>
      <c r="U9" s="4">
        <f ca="1">com_share_state_target*'LEAP Statewide'!U9</f>
        <v>0.22186235368155255</v>
      </c>
      <c r="V9" s="4">
        <f ca="1">com_share_state_target*'LEAP Statewide'!V9</f>
        <v>0.13622727767933962</v>
      </c>
      <c r="W9" s="5">
        <f ca="1">com_share_state_target*'LEAP Statewide'!W9</f>
        <v>0</v>
      </c>
      <c r="Y9" s="23"/>
    </row>
    <row r="10" spans="1:25" x14ac:dyDescent="0.25">
      <c r="A10" s="1" t="s">
        <v>8</v>
      </c>
      <c r="B10" s="4">
        <f>res_share_state_target*'LEAP Statewide'!B10</f>
        <v>10.06357227017137</v>
      </c>
      <c r="C10" s="4">
        <f>res_share_state_target*'LEAP Statewide'!C10</f>
        <v>8.0626909850277322</v>
      </c>
      <c r="D10" s="4">
        <f>res_share_state_target*'LEAP Statewide'!D10</f>
        <v>5.9560283416193291</v>
      </c>
      <c r="E10" s="5">
        <f>res_share_state_target*'LEAP Statewide'!E10</f>
        <v>2.1496923484652544</v>
      </c>
      <c r="G10" s="1" t="s">
        <v>8</v>
      </c>
      <c r="H10" s="4">
        <f>res_share_state_target*'LEAP Statewide'!H10</f>
        <v>9.9452405812650273</v>
      </c>
      <c r="I10" s="4">
        <f>res_share_state_target*'LEAP Statewide'!I10</f>
        <v>7.5983287512891984</v>
      </c>
      <c r="J10" s="4">
        <f>res_share_state_target*'LEAP Statewide'!J10</f>
        <v>5.3177543832760179</v>
      </c>
      <c r="K10" s="5">
        <f>res_share_state_target*'LEAP Statewide'!K10</f>
        <v>1.7946972817462217</v>
      </c>
      <c r="L10" s="21"/>
      <c r="M10" s="1" t="s">
        <v>17</v>
      </c>
      <c r="N10" s="4">
        <f ca="1">com_share_state_target*'LEAP Statewide'!N10</f>
        <v>0.94888822036110165</v>
      </c>
      <c r="O10" s="4">
        <f ca="1">com_share_state_target*'LEAP Statewide'!O10</f>
        <v>1.0095685222227229</v>
      </c>
      <c r="P10" s="4">
        <f ca="1">com_share_state_target*'LEAP Statewide'!P10</f>
        <v>1.0543202448456686</v>
      </c>
      <c r="Q10" s="5">
        <f ca="1">com_share_state_target*'LEAP Statewide'!Q10</f>
        <v>1.1468577051846409</v>
      </c>
      <c r="R10" s="4"/>
      <c r="S10" s="1" t="s">
        <v>17</v>
      </c>
      <c r="T10" s="4">
        <f ca="1">com_share_state_target*'LEAP Statewide'!T10</f>
        <v>1.0186705675019661</v>
      </c>
      <c r="U10" s="4">
        <f ca="1">com_share_state_target*'LEAP Statewide'!U10</f>
        <v>1.4472251993996659</v>
      </c>
      <c r="V10" s="4">
        <f ca="1">com_share_state_target*'LEAP Statewide'!V10</f>
        <v>1.8751730282787493</v>
      </c>
      <c r="W10" s="5">
        <f ca="1">com_share_state_target*'LEAP Statewide'!W10</f>
        <v>2.6072808702392094</v>
      </c>
      <c r="Y10" s="23"/>
    </row>
    <row r="11" spans="1:25" x14ac:dyDescent="0.25">
      <c r="A11" s="1" t="s">
        <v>9</v>
      </c>
      <c r="B11" s="4">
        <f>res_share_state_target*'LEAP Statewide'!B11</f>
        <v>8.6884146127294617</v>
      </c>
      <c r="C11" s="4">
        <f>res_share_state_target*'LEAP Statewide'!C11</f>
        <v>11.277368533650085</v>
      </c>
      <c r="D11" s="4">
        <f>res_share_state_target*'LEAP Statewide'!D11</f>
        <v>14.493838986649806</v>
      </c>
      <c r="E11" s="5">
        <f>res_share_state_target*'LEAP Statewide'!E11</f>
        <v>21.227987828047219</v>
      </c>
      <c r="G11" s="1" t="s">
        <v>9</v>
      </c>
      <c r="H11" s="4">
        <f>res_share_state_target*'LEAP Statewide'!H11</f>
        <v>7.9120870173287479</v>
      </c>
      <c r="I11" s="4">
        <f>res_share_state_target*'LEAP Statewide'!I11</f>
        <v>6.2930943645646735</v>
      </c>
      <c r="J11" s="4">
        <f>res_share_state_target*'LEAP Statewide'!J11</f>
        <v>3.508713866510845</v>
      </c>
      <c r="K11" s="5">
        <f>res_share_state_target*'LEAP Statewide'!K11</f>
        <v>0.43567576370063127</v>
      </c>
      <c r="L11" s="21"/>
      <c r="M11" s="7" t="s">
        <v>12</v>
      </c>
      <c r="N11" s="8">
        <f ca="1">SUM(N4:N10)</f>
        <v>13.898823141404339</v>
      </c>
      <c r="O11" s="8">
        <f ca="1">SUM(O4:O10)</f>
        <v>13.888962592351824</v>
      </c>
      <c r="P11" s="8">
        <f ca="1">SUM(P4:P10)</f>
        <v>13.596938639642772</v>
      </c>
      <c r="Q11" s="9">
        <f ca="1">SUM(Q4:Q10)</f>
        <v>13.394418132179611</v>
      </c>
      <c r="R11" s="4"/>
      <c r="S11" s="7" t="s">
        <v>12</v>
      </c>
      <c r="T11" s="8">
        <f ca="1">SUM(T4:T10)</f>
        <v>13.751142456748616</v>
      </c>
      <c r="U11" s="8">
        <f ca="1">SUM(U4:U10)</f>
        <v>12.967152956696472</v>
      </c>
      <c r="V11" s="8">
        <f ca="1">SUM(V4:V10)</f>
        <v>11.86747418620924</v>
      </c>
      <c r="W11" s="9">
        <f ca="1">SUM(W4:W10)</f>
        <v>10.320960842888496</v>
      </c>
    </row>
    <row r="12" spans="1:25" x14ac:dyDescent="0.25">
      <c r="A12" s="1" t="s">
        <v>10</v>
      </c>
      <c r="B12" s="4">
        <f>res_share_state_target*'LEAP Statewide'!B12</f>
        <v>18.608554532711324</v>
      </c>
      <c r="C12" s="4">
        <f>res_share_state_target*'LEAP Statewide'!C12</f>
        <v>14.619342293065626</v>
      </c>
      <c r="D12" s="4">
        <f>res_share_state_target*'LEAP Statewide'!D12</f>
        <v>9.6368610283575844</v>
      </c>
      <c r="E12" s="5">
        <f>res_share_state_target*'LEAP Statewide'!E12</f>
        <v>2.5799893990337792</v>
      </c>
      <c r="G12" s="1" t="s">
        <v>10</v>
      </c>
      <c r="H12" s="4">
        <f>res_share_state_target*'LEAP Statewide'!H12</f>
        <v>18.244594944105447</v>
      </c>
      <c r="I12" s="4">
        <f>res_share_state_target*'LEAP Statewide'!I12</f>
        <v>13.073858719773675</v>
      </c>
      <c r="J12" s="4">
        <f>res_share_state_target*'LEAP Statewide'!J12</f>
        <v>8.0573122718956256</v>
      </c>
      <c r="K12" s="5">
        <f>res_share_state_target*'LEAP Statewide'!K12</f>
        <v>0</v>
      </c>
      <c r="L12" s="21"/>
    </row>
    <row r="13" spans="1:25" x14ac:dyDescent="0.25">
      <c r="A13" s="1" t="s">
        <v>11</v>
      </c>
      <c r="B13" s="4">
        <f>res_share_state_target*'LEAP Statewide'!B13</f>
        <v>1.1546304190255412</v>
      </c>
      <c r="C13" s="4">
        <f>res_share_state_target*'LEAP Statewide'!C13</f>
        <v>1.5293474338956314</v>
      </c>
      <c r="D13" s="4">
        <f>res_share_state_target*'LEAP Statewide'!D13</f>
        <v>1.8879283093694021</v>
      </c>
      <c r="E13" s="5">
        <f>res_share_state_target*'LEAP Statewide'!E13</f>
        <v>2.4419357619763775</v>
      </c>
      <c r="G13" s="1" t="s">
        <v>11</v>
      </c>
      <c r="H13" s="4">
        <f>res_share_state_target*'LEAP Statewide'!H13</f>
        <v>1.32854214363032</v>
      </c>
      <c r="I13" s="4">
        <f>res_share_state_target*'LEAP Statewide'!I13</f>
        <v>2.4311783357121644</v>
      </c>
      <c r="J13" s="4">
        <f>res_share_state_target*'LEAP Statewide'!J13</f>
        <v>3.2756362974528943</v>
      </c>
      <c r="K13" s="5">
        <f>res_share_state_target*'LEAP Statewide'!K13</f>
        <v>4.0770645541367712</v>
      </c>
      <c r="L13" s="21"/>
      <c r="N13" s="21"/>
      <c r="O13" s="21"/>
      <c r="P13" s="21"/>
      <c r="Q13" s="21"/>
      <c r="T13" s="21"/>
      <c r="U13" s="21"/>
      <c r="V13" s="21"/>
      <c r="W13" s="21"/>
    </row>
    <row r="14" spans="1:25" x14ac:dyDescent="0.25">
      <c r="A14" s="7" t="s">
        <v>12</v>
      </c>
      <c r="B14" s="8">
        <f>SUM(B4:B13)</f>
        <v>56.141214768550896</v>
      </c>
      <c r="C14" s="8">
        <f>SUM(C4:C13)</f>
        <v>52.420938185510522</v>
      </c>
      <c r="D14" s="8">
        <f>SUM(D4:D13)</f>
        <v>48.623566714243289</v>
      </c>
      <c r="E14" s="9">
        <f>SUM(E4:E13)</f>
        <v>44.189714189010111</v>
      </c>
      <c r="G14" s="7" t="s">
        <v>12</v>
      </c>
      <c r="H14" s="8">
        <f>SUM(H4:H13)</f>
        <v>55.465289818282834</v>
      </c>
      <c r="I14" s="8">
        <f>SUM(I4:I13)</f>
        <v>48.722176454998568</v>
      </c>
      <c r="J14" s="8">
        <f>SUM(J4:J13)</f>
        <v>40.91407789155722</v>
      </c>
      <c r="K14" s="9">
        <f>SUM(K4:K13)</f>
        <v>28.915961798204858</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50.201322566327882</v>
      </c>
      <c r="C24" s="4">
        <f>res_share_state_target*'LEAP Statewide'!C24*1000</f>
        <v>41.236800679483615</v>
      </c>
      <c r="D24" s="4">
        <f>res_share_state_target*'LEAP Statewide'!D24*1000</f>
        <v>35.85808754737706</v>
      </c>
      <c r="E24" s="5">
        <f>res_share_state_target*'LEAP Statewide'!E24*1000</f>
        <v>30.479374415270499</v>
      </c>
      <c r="G24" s="1" t="s">
        <v>21</v>
      </c>
      <c r="H24" s="4">
        <f>res_share_state_target*'LEAP Statewide'!H24*1000</f>
        <v>50.201322566327882</v>
      </c>
      <c r="I24" s="4">
        <f>res_share_state_target*'LEAP Statewide'!I24*1000</f>
        <v>41.236800679483615</v>
      </c>
      <c r="J24" s="4">
        <f>res_share_state_target*'LEAP Statewide'!J24*1000</f>
        <v>19.721948151057383</v>
      </c>
      <c r="K24" s="5">
        <f>res_share_state_target*'LEAP Statewide'!K24*1000</f>
        <v>1.7929043773688529</v>
      </c>
    </row>
    <row r="25" spans="1:16" x14ac:dyDescent="0.25">
      <c r="A25" s="1" t="s">
        <v>22</v>
      </c>
      <c r="B25" s="4">
        <f>res_share_state_target*'LEAP Statewide'!B25*1000</f>
        <v>7.1716175094754115</v>
      </c>
      <c r="C25" s="4">
        <f>res_share_state_target*'LEAP Statewide'!C25*1000</f>
        <v>5.3787131321065589</v>
      </c>
      <c r="D25" s="4">
        <f>res_share_state_target*'LEAP Statewide'!D25*1000</f>
        <v>5.3787131321065589</v>
      </c>
      <c r="E25" s="5">
        <f>res_share_state_target*'LEAP Statewide'!E25*1000</f>
        <v>3.5858087547377058</v>
      </c>
      <c r="G25" s="1" t="s">
        <v>22</v>
      </c>
      <c r="H25" s="4">
        <f>res_share_state_target*'LEAP Statewide'!H25*1000</f>
        <v>7.1716175094754115</v>
      </c>
      <c r="I25" s="4">
        <f>res_share_state_target*'LEAP Statewide'!I25*1000</f>
        <v>5.3787131321065589</v>
      </c>
      <c r="J25" s="4">
        <f>res_share_state_target*'LEAP Statewide'!J25*1000</f>
        <v>1.7929043773688529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3.5858087547377058</v>
      </c>
      <c r="K26" s="5">
        <f>res_share_state_target*'LEAP Statewide'!K26*1000</f>
        <v>8.9645218868442651</v>
      </c>
    </row>
    <row r="27" spans="1:16" x14ac:dyDescent="0.25">
      <c r="A27" s="1" t="s">
        <v>20</v>
      </c>
      <c r="B27" s="4">
        <f>res_share_state_target*'LEAP Statewide'!B27*1000</f>
        <v>1.7929043773688529</v>
      </c>
      <c r="C27" s="4">
        <f>res_share_state_target*'LEAP Statewide'!C27*1000</f>
        <v>1.7929043773688529</v>
      </c>
      <c r="D27" s="4">
        <f>res_share_state_target*'LEAP Statewide'!D27*1000</f>
        <v>1.7929043773688529</v>
      </c>
      <c r="E27" s="5">
        <f>res_share_state_target*'LEAP Statewide'!E27*1000</f>
        <v>1.7929043773688529</v>
      </c>
      <c r="G27" s="1" t="s">
        <v>20</v>
      </c>
      <c r="H27" s="4">
        <f>res_share_state_target*'LEAP Statewide'!H27*1000</f>
        <v>1.7929043773688529</v>
      </c>
      <c r="I27" s="4">
        <f>res_share_state_target*'LEAP Statewide'!I27*1000</f>
        <v>1.7929043773688529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1.7929043773688529</v>
      </c>
      <c r="K28" s="5">
        <f>res_share_state_target*'LEAP Statewide'!K28*1000</f>
        <v>1.7929043773688529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59.165844453172149</v>
      </c>
      <c r="C30" s="8">
        <f>SUM(C24:C29)</f>
        <v>48.408418188959033</v>
      </c>
      <c r="D30" s="8">
        <f>SUM(D24:D29)</f>
        <v>43.029705056852478</v>
      </c>
      <c r="E30" s="9">
        <f>SUM(E24:E29)</f>
        <v>35.85808754737706</v>
      </c>
      <c r="G30" s="7" t="s">
        <v>12</v>
      </c>
      <c r="H30" s="8">
        <f>SUM(H24:H29)</f>
        <v>59.165844453172149</v>
      </c>
      <c r="I30" s="8">
        <f>SUM(I24:I29)</f>
        <v>48.408418188959033</v>
      </c>
      <c r="J30" s="8">
        <f>SUM(J24:J29)</f>
        <v>26.893565660532794</v>
      </c>
      <c r="K30" s="9">
        <f>SUM(K24:K29)</f>
        <v>12.55033064158197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0.18466915086899185</v>
      </c>
      <c r="C49" s="20">
        <f>res_share_state_target*'LEAP Statewide'!C49</f>
        <v>0.88390185804284449</v>
      </c>
      <c r="D49" s="20">
        <f>res_share_state_target*'LEAP Statewide'!D49</f>
        <v>1.5329332426503692</v>
      </c>
      <c r="E49" s="20">
        <f>res_share_state_target*'LEAP Statewide'!E49</f>
        <v>2.5279951720900824</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0.24375193798449613</v>
      </c>
      <c r="I4" s="4">
        <f>res_share_region_target*'LEAP Scenario'!I4</f>
        <v>0.87054263565891477</v>
      </c>
      <c r="J4" s="4">
        <f>res_share_region_target*'LEAP Scenario'!J4</f>
        <v>1.4276899224806201</v>
      </c>
      <c r="K4" s="5">
        <f>res_share_region_target*'LEAP Scenario'!K4</f>
        <v>2.2111782945736436</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6.5798492117888963E-2</v>
      </c>
      <c r="U4" s="4">
        <f>com_share_region_target*'LEAP Scenario'!U4</f>
        <v>0.40301576422206992</v>
      </c>
      <c r="V4" s="4">
        <f>com_share_region_target*'LEAP Scenario'!V4</f>
        <v>0.7566826593557231</v>
      </c>
      <c r="W4" s="5">
        <f>com_share_region_target*'LEAP Scenario'!W4</f>
        <v>1.3488690884167238</v>
      </c>
      <c r="Y4" s="23"/>
    </row>
    <row r="5" spans="1:25" x14ac:dyDescent="0.25">
      <c r="A5" s="1" t="s">
        <v>3</v>
      </c>
      <c r="B5" s="4">
        <f>res_share_region_target*'LEAP Scenario'!B5</f>
        <v>32.90651162790698</v>
      </c>
      <c r="C5" s="4">
        <f>res_share_region_target*'LEAP Scenario'!C5</f>
        <v>27.300217054263566</v>
      </c>
      <c r="D5" s="4">
        <f>res_share_region_target*'LEAP Scenario'!D5</f>
        <v>22.651519379844963</v>
      </c>
      <c r="E5" s="5">
        <f>res_share_region_target*'LEAP Scenario'!E5</f>
        <v>17.254155038759691</v>
      </c>
      <c r="G5" s="1" t="s">
        <v>3</v>
      </c>
      <c r="H5" s="4">
        <f>res_share_region_target*'LEAP Scenario'!H5</f>
        <v>32.366775193798453</v>
      </c>
      <c r="I5" s="4">
        <f>res_share_region_target*'LEAP Scenario'!I5</f>
        <v>25.593953488372094</v>
      </c>
      <c r="J5" s="4">
        <f>res_share_region_target*'LEAP Scenario'!J5</f>
        <v>19.639441860465116</v>
      </c>
      <c r="K5" s="5">
        <f>res_share_region_target*'LEAP Scenario'!K5</f>
        <v>13.058139534883722</v>
      </c>
      <c r="L5" s="21"/>
      <c r="M5" s="1" t="s">
        <v>14</v>
      </c>
      <c r="N5" s="4">
        <f>com_share_region_target*'LEAP Scenario'!N5</f>
        <v>3.3968471555860176</v>
      </c>
      <c r="O5" s="4">
        <f>com_share_region_target*'LEAP Scenario'!O5</f>
        <v>2.7882111034955446</v>
      </c>
      <c r="P5" s="4">
        <f>com_share_region_target*'LEAP Scenario'!P5</f>
        <v>2.0808773132282385</v>
      </c>
      <c r="Q5" s="5">
        <f>com_share_region_target*'LEAP Scenario'!Q5</f>
        <v>0.97052775873886221</v>
      </c>
      <c r="R5" s="2"/>
      <c r="S5" s="1" t="s">
        <v>14</v>
      </c>
      <c r="T5" s="4">
        <f>com_share_region_target*'LEAP Scenario'!T5</f>
        <v>3.3557230980123371</v>
      </c>
      <c r="U5" s="4">
        <f>com_share_region_target*'LEAP Scenario'!U5</f>
        <v>2.5003427004797807</v>
      </c>
      <c r="V5" s="4">
        <f>com_share_region_target*'LEAP Scenario'!V5</f>
        <v>1.5380397532556545</v>
      </c>
      <c r="W5" s="5">
        <f>com_share_region_target*'LEAP Scenario'!W5</f>
        <v>8.2248115147361203E-3</v>
      </c>
      <c r="Y5" s="92"/>
    </row>
    <row r="6" spans="1:25" x14ac:dyDescent="0.25">
      <c r="A6" s="1" t="s">
        <v>4</v>
      </c>
      <c r="B6" s="4">
        <f>res_share_region_target*'LEAP Scenario'!B6</f>
        <v>3.3254728682170542</v>
      </c>
      <c r="C6" s="4">
        <f>res_share_region_target*'LEAP Scenario'!C6</f>
        <v>2.4723410852713181</v>
      </c>
      <c r="D6" s="4">
        <f>res_share_region_target*'LEAP Scenario'!D6</f>
        <v>1.4276899224806201</v>
      </c>
      <c r="E6" s="5">
        <f>res_share_region_target*'LEAP Scenario'!E6</f>
        <v>0.41786046511627906</v>
      </c>
      <c r="G6" s="1" t="s">
        <v>4</v>
      </c>
      <c r="H6" s="4">
        <f>res_share_region_target*'LEAP Scenario'!H6</f>
        <v>3.604046511627907</v>
      </c>
      <c r="I6" s="4">
        <f>res_share_region_target*'LEAP Scenario'!I6</f>
        <v>3.2558294573643414</v>
      </c>
      <c r="J6" s="4">
        <f>res_share_region_target*'LEAP Scenario'!J6</f>
        <v>1.7759069767441862</v>
      </c>
      <c r="K6" s="5">
        <f>res_share_region_target*'LEAP Scenario'!K6</f>
        <v>0.53973643410852712</v>
      </c>
      <c r="L6" s="21"/>
      <c r="M6" s="1" t="s">
        <v>15</v>
      </c>
      <c r="N6" s="89">
        <f>com_share_region_target*'LEAP Scenario'!N6</f>
        <v>6.2015078821110343</v>
      </c>
      <c r="O6" s="89">
        <f>com_share_region_target*'LEAP Scenario'!O6</f>
        <v>6.5962988348183682</v>
      </c>
      <c r="P6" s="89">
        <f>com_share_region_target*'LEAP Scenario'!P6</f>
        <v>6.8841672378341325</v>
      </c>
      <c r="Q6" s="90">
        <f>com_share_region_target*'LEAP Scenario'!Q6</f>
        <v>7.4928032899246055</v>
      </c>
      <c r="R6" s="4"/>
      <c r="S6" s="1" t="s">
        <v>15</v>
      </c>
      <c r="T6" s="89">
        <f>com_share_region_target*'LEAP Scenario'!T6</f>
        <v>6.1192597669636735</v>
      </c>
      <c r="U6" s="89">
        <f>com_share_region_target*'LEAP Scenario'!U6</f>
        <v>6.0616860863605204</v>
      </c>
      <c r="V6" s="89">
        <f>com_share_region_target*'LEAP Scenario'!V6</f>
        <v>5.87251542152159</v>
      </c>
      <c r="W6" s="90">
        <f>com_share_region_target*'LEAP Scenario'!W6</f>
        <v>5.6915695681973952</v>
      </c>
      <c r="Y6" s="92"/>
    </row>
    <row r="7" spans="1:25" x14ac:dyDescent="0.25">
      <c r="A7" s="1" t="s">
        <v>5</v>
      </c>
      <c r="B7" s="4">
        <f>res_share_region_target*'LEAP Scenario'!B7</f>
        <v>0.45268217054263565</v>
      </c>
      <c r="C7" s="4">
        <f>res_share_region_target*'LEAP Scenario'!C7</f>
        <v>2.1415348837209303</v>
      </c>
      <c r="D7" s="4">
        <f>res_share_region_target*'LEAP Scenario'!D7</f>
        <v>3.3254728682170542</v>
      </c>
      <c r="E7" s="5">
        <f>res_share_region_target*'LEAP Scenario'!E7</f>
        <v>4.1786046511627912</v>
      </c>
      <c r="G7" s="1" t="s">
        <v>5</v>
      </c>
      <c r="H7" s="4">
        <f>res_share_region_target*'LEAP Scenario'!H7</f>
        <v>0.40044961240310079</v>
      </c>
      <c r="I7" s="4">
        <f>res_share_region_target*'LEAP Scenario'!I7</f>
        <v>1.9151937984496126</v>
      </c>
      <c r="J7" s="4">
        <f>res_share_region_target*'LEAP Scenario'!J7</f>
        <v>3.9174418604651162</v>
      </c>
      <c r="K7" s="5">
        <f>res_share_region_target*'LEAP Scenario'!K7</f>
        <v>4.7009302325581395</v>
      </c>
      <c r="M7" s="1" t="s">
        <v>8</v>
      </c>
      <c r="N7" s="4">
        <f>com_share_region_target*'LEAP Scenario'!N7</f>
        <v>2.5579163810829333</v>
      </c>
      <c r="O7" s="4">
        <f>com_share_region_target*'LEAP Scenario'!O7</f>
        <v>2.7635366689513363</v>
      </c>
      <c r="P7" s="4">
        <f>com_share_region_target*'LEAP Scenario'!P7</f>
        <v>2.9198080877313228</v>
      </c>
      <c r="Q7" s="5">
        <f>com_share_region_target*'LEAP Scenario'!Q7</f>
        <v>3.2405757368060315</v>
      </c>
      <c r="R7" s="4"/>
      <c r="S7" s="1" t="s">
        <v>8</v>
      </c>
      <c r="T7" s="4">
        <f>com_share_region_target*'LEAP Scenario'!T7</f>
        <v>2.4592186429060998</v>
      </c>
      <c r="U7" s="4">
        <f>com_share_region_target*'LEAP Scenario'!U7</f>
        <v>2.122001370801919</v>
      </c>
      <c r="V7" s="4">
        <f>com_share_region_target*'LEAP Scenario'!V7</f>
        <v>1.7189856065798492</v>
      </c>
      <c r="W7" s="5">
        <f>com_share_region_target*'LEAP Scenario'!W7</f>
        <v>1.0938999314599041</v>
      </c>
      <c r="Y7" s="92"/>
    </row>
    <row r="8" spans="1:25" x14ac:dyDescent="0.25">
      <c r="A8" s="1" t="s">
        <v>6</v>
      </c>
      <c r="B8" s="4">
        <f>res_share_region_target*'LEAP Scenario'!B8</f>
        <v>5.2232558139534882E-2</v>
      </c>
      <c r="C8" s="4">
        <f>res_share_region_target*'LEAP Scenario'!C8</f>
        <v>0.22634108527131783</v>
      </c>
      <c r="D8" s="4">
        <f>res_share_region_target*'LEAP Scenario'!D8</f>
        <v>0.8183100775193799</v>
      </c>
      <c r="E8" s="5">
        <f>res_share_region_target*'LEAP Scenario'!E8</f>
        <v>1.9674263565891474</v>
      </c>
      <c r="G8" s="1" t="s">
        <v>6</v>
      </c>
      <c r="H8" s="4">
        <f>res_share_region_target*'LEAP Scenario'!H8</f>
        <v>0.27857364341085272</v>
      </c>
      <c r="I8" s="4">
        <f>res_share_region_target*'LEAP Scenario'!I8</f>
        <v>0.80089922480620157</v>
      </c>
      <c r="J8" s="4">
        <f>res_share_region_target*'LEAP Scenario'!J8</f>
        <v>1.5669767441860465</v>
      </c>
      <c r="K8" s="5">
        <f>res_share_region_target*'LEAP Scenario'!K8</f>
        <v>2.1937674418604654</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2.246</v>
      </c>
      <c r="C9" s="4">
        <f>res_share_region_target*'LEAP Scenario'!C9</f>
        <v>2.8553798449612402</v>
      </c>
      <c r="D9" s="4">
        <f>res_share_region_target*'LEAP Scenario'!D9</f>
        <v>3.4995813953488373</v>
      </c>
      <c r="E9" s="5">
        <f>res_share_region_target*'LEAP Scenario'!E9</f>
        <v>0.88795348837209309</v>
      </c>
      <c r="G9" s="1" t="s">
        <v>7</v>
      </c>
      <c r="H9" s="4">
        <f>res_share_region_target*'LEAP Scenario'!H9</f>
        <v>2.0893023255813956</v>
      </c>
      <c r="I9" s="4">
        <f>res_share_region_target*'LEAP Scenario'!I9</f>
        <v>2.420108527131783</v>
      </c>
      <c r="J9" s="4">
        <f>res_share_region_target*'LEAP Scenario'!J9</f>
        <v>2.8031472868217056</v>
      </c>
      <c r="K9" s="5">
        <f>res_share_region_target*'LEAP Scenario'!K9</f>
        <v>0</v>
      </c>
      <c r="L9" s="21"/>
      <c r="M9" s="1" t="s">
        <v>16</v>
      </c>
      <c r="N9" s="4">
        <f>com_share_region_target*'LEAP Scenario'!N9</f>
        <v>0.34544208361891704</v>
      </c>
      <c r="O9" s="4">
        <f>com_share_region_target*'LEAP Scenario'!O9</f>
        <v>0.25496915695681971</v>
      </c>
      <c r="P9" s="4">
        <f>com_share_region_target*'LEAP Scenario'!P9</f>
        <v>0.15627141877998629</v>
      </c>
      <c r="Q9" s="5">
        <f>com_share_region_target*'LEAP Scenario'!Q9</f>
        <v>0</v>
      </c>
      <c r="R9" s="2"/>
      <c r="S9" s="1" t="s">
        <v>16</v>
      </c>
      <c r="T9" s="4">
        <f>com_share_region_target*'LEAP Scenario'!T9</f>
        <v>0.34544208361891704</v>
      </c>
      <c r="U9" s="4">
        <f>com_share_region_target*'LEAP Scenario'!U9</f>
        <v>0.25496915695681971</v>
      </c>
      <c r="V9" s="4">
        <f>com_share_region_target*'LEAP Scenario'!V9</f>
        <v>0.15627141877998629</v>
      </c>
      <c r="W9" s="5">
        <f>com_share_region_target*'LEAP Scenario'!W9</f>
        <v>0</v>
      </c>
      <c r="Y9" s="23"/>
    </row>
    <row r="10" spans="1:25" x14ac:dyDescent="0.25">
      <c r="A10" s="1" t="s">
        <v>8</v>
      </c>
      <c r="B10" s="4">
        <f>res_share_region_target*'LEAP Scenario'!B10</f>
        <v>12.588046511627907</v>
      </c>
      <c r="C10" s="4">
        <f>res_share_region_target*'LEAP Scenario'!C10</f>
        <v>10.272403100775195</v>
      </c>
      <c r="D10" s="4">
        <f>res_share_region_target*'LEAP Scenario'!D10</f>
        <v>8.217922480620155</v>
      </c>
      <c r="E10" s="5">
        <f>res_share_region_target*'LEAP Scenario'!E10</f>
        <v>5.5018294573643409</v>
      </c>
      <c r="G10" s="1" t="s">
        <v>8</v>
      </c>
      <c r="H10" s="4">
        <f>res_share_region_target*'LEAP Scenario'!H10</f>
        <v>12.309472868217055</v>
      </c>
      <c r="I10" s="4">
        <f>res_share_region_target*'LEAP Scenario'!I10</f>
        <v>9.6282015503875975</v>
      </c>
      <c r="J10" s="4">
        <f>res_share_region_target*'LEAP Scenario'!J10</f>
        <v>6.1634418604651167</v>
      </c>
      <c r="K10" s="5">
        <f>res_share_region_target*'LEAP Scenario'!K10</f>
        <v>2.1589457364341085</v>
      </c>
      <c r="L10" s="21"/>
      <c r="M10" s="1" t="s">
        <v>17</v>
      </c>
      <c r="N10" s="4">
        <f>com_share_region_target*'LEAP Scenario'!N10</f>
        <v>1.1103495544893762</v>
      </c>
      <c r="O10" s="4">
        <f>com_share_region_target*'LEAP Scenario'!O10</f>
        <v>1.2419465387251543</v>
      </c>
      <c r="P10" s="4">
        <f>com_share_region_target*'LEAP Scenario'!P10</f>
        <v>1.365318711446196</v>
      </c>
      <c r="Q10" s="5">
        <f>com_share_region_target*'LEAP Scenario'!Q10</f>
        <v>1.5791638108293351</v>
      </c>
      <c r="R10" s="4"/>
      <c r="S10" s="1" t="s">
        <v>17</v>
      </c>
      <c r="T10" s="4">
        <f>com_share_region_target*'LEAP Scenario'!T10</f>
        <v>1.159698423577793</v>
      </c>
      <c r="U10" s="4">
        <f>com_share_region_target*'LEAP Scenario'!U10</f>
        <v>1.5873886223440712</v>
      </c>
      <c r="V10" s="4">
        <f>com_share_region_target*'LEAP Scenario'!V10</f>
        <v>2.0068540095956133</v>
      </c>
      <c r="W10" s="5">
        <f>com_share_region_target*'LEAP Scenario'!W10</f>
        <v>2.730637422892392</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13.612063056888278</v>
      </c>
      <c r="O11" s="8">
        <f>SUM(O4:O10)</f>
        <v>13.644962302947224</v>
      </c>
      <c r="P11" s="8">
        <f>SUM(P4:P10)</f>
        <v>13.406442769019877</v>
      </c>
      <c r="Q11" s="9">
        <f>SUM(Q4:Q10)</f>
        <v>13.283070596298835</v>
      </c>
      <c r="R11" s="4"/>
      <c r="S11" s="7" t="s">
        <v>12</v>
      </c>
      <c r="T11" s="8">
        <f>SUM(T4:T10)</f>
        <v>13.50514050719671</v>
      </c>
      <c r="U11" s="8">
        <f>SUM(U4:U10)</f>
        <v>12.929403701165182</v>
      </c>
      <c r="V11" s="8">
        <f>SUM(V4:V10)</f>
        <v>12.049348869088417</v>
      </c>
      <c r="W11" s="9">
        <f>SUM(W4:W10)</f>
        <v>10.873200822481152</v>
      </c>
    </row>
    <row r="12" spans="1:25" x14ac:dyDescent="0.25">
      <c r="A12" s="1" t="s">
        <v>10</v>
      </c>
      <c r="B12" s="4">
        <f>res_share_region_target*'LEAP Scenario'!B12</f>
        <v>30.660511627906978</v>
      </c>
      <c r="C12" s="4">
        <f>res_share_region_target*'LEAP Scenario'!C12</f>
        <v>23.365364341085272</v>
      </c>
      <c r="D12" s="4">
        <f>res_share_region_target*'LEAP Scenario'!D12</f>
        <v>16.366201550387597</v>
      </c>
      <c r="E12" s="5">
        <f>res_share_region_target*'LEAP Scenario'!E12</f>
        <v>7.1558604651162794</v>
      </c>
      <c r="G12" s="1" t="s">
        <v>10</v>
      </c>
      <c r="H12" s="4">
        <f>res_share_region_target*'LEAP Scenario'!H12</f>
        <v>29.493984496124032</v>
      </c>
      <c r="I12" s="4">
        <f>res_share_region_target*'LEAP Scenario'!I12</f>
        <v>19.813550387596901</v>
      </c>
      <c r="J12" s="4">
        <f>res_share_region_target*'LEAP Scenario'!J12</f>
        <v>10.463922480620155</v>
      </c>
      <c r="K12" s="5">
        <f>res_share_region_target*'LEAP Scenario'!K12</f>
        <v>0</v>
      </c>
      <c r="L12" s="21"/>
    </row>
    <row r="13" spans="1:25" x14ac:dyDescent="0.25">
      <c r="A13" s="1" t="s">
        <v>11</v>
      </c>
      <c r="B13" s="4">
        <f>res_share_region_target*'LEAP Scenario'!B13</f>
        <v>6.3375503875968997</v>
      </c>
      <c r="C13" s="4">
        <f>res_share_region_target*'LEAP Scenario'!C13</f>
        <v>5.6237054263565893</v>
      </c>
      <c r="D13" s="4">
        <f>res_share_region_target*'LEAP Scenario'!D13</f>
        <v>5.0491472868217055</v>
      </c>
      <c r="E13" s="5">
        <f>res_share_region_target*'LEAP Scenario'!E13</f>
        <v>4.5094108527131782</v>
      </c>
      <c r="G13" s="1" t="s">
        <v>11</v>
      </c>
      <c r="H13" s="4">
        <f>res_share_region_target*'LEAP Scenario'!H13</f>
        <v>5.5018294573643409</v>
      </c>
      <c r="I13" s="4">
        <f>res_share_region_target*'LEAP Scenario'!I13</f>
        <v>6.1460310077519384</v>
      </c>
      <c r="J13" s="4">
        <f>res_share_region_target*'LEAP Scenario'!J13</f>
        <v>5.5192403100775191</v>
      </c>
      <c r="K13" s="5">
        <f>res_share_region_target*'LEAP Scenario'!K13</f>
        <v>5.1536124031007757</v>
      </c>
      <c r="L13" s="21"/>
      <c r="N13" s="21"/>
      <c r="O13" s="21"/>
      <c r="P13" s="21"/>
      <c r="Q13" s="21"/>
      <c r="T13" s="21"/>
      <c r="U13" s="21"/>
      <c r="V13" s="21"/>
      <c r="W13" s="21"/>
    </row>
    <row r="14" spans="1:25" x14ac:dyDescent="0.25">
      <c r="A14" s="7" t="s">
        <v>12</v>
      </c>
      <c r="B14" s="8">
        <f>SUM(B4:B13)</f>
        <v>88.569007751938003</v>
      </c>
      <c r="C14" s="8">
        <f>SUM(C4:C13)</f>
        <v>74.257286821705435</v>
      </c>
      <c r="D14" s="8">
        <f>SUM(D4:D13)</f>
        <v>61.355844961240322</v>
      </c>
      <c r="E14" s="9">
        <f>SUM(E4:E13)</f>
        <v>41.873100775193805</v>
      </c>
      <c r="G14" s="7" t="s">
        <v>12</v>
      </c>
      <c r="H14" s="8">
        <f>SUM(H4:H13)</f>
        <v>86.288186046511626</v>
      </c>
      <c r="I14" s="8">
        <f>SUM(I4:I13)</f>
        <v>70.44431007751939</v>
      </c>
      <c r="J14" s="8">
        <f>SUM(J4:J13)</f>
        <v>53.277209302325581</v>
      </c>
      <c r="K14" s="9">
        <f>SUM(K4:K13)</f>
        <v>30.016310077519385</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50.700403100775198</v>
      </c>
      <c r="C24" s="4">
        <f>res_share_region_target*'LEAP Scenario'!C24</f>
        <v>41.263720930232559</v>
      </c>
      <c r="D24" s="4">
        <f>res_share_region_target*'LEAP Scenario'!D24</f>
        <v>35.169922480620158</v>
      </c>
      <c r="E24" s="5">
        <f>res_share_region_target*'LEAP Scenario'!E24</f>
        <v>29.528806201550388</v>
      </c>
      <c r="G24" s="1" t="s">
        <v>21</v>
      </c>
      <c r="H24" s="4">
        <f>res_share_region_target*'LEAP Scenario'!H24</f>
        <v>50.89192248062016</v>
      </c>
      <c r="I24" s="4">
        <f>res_share_region_target*'LEAP Scenario'!I24</f>
        <v>36.45832558139535</v>
      </c>
      <c r="J24" s="4">
        <f>res_share_region_target*'LEAP Scenario'!J24</f>
        <v>20.301054263565891</v>
      </c>
      <c r="K24" s="5">
        <f>res_share_region_target*'LEAP Scenario'!K24</f>
        <v>1.5843875968992249</v>
      </c>
    </row>
    <row r="25" spans="1:16" x14ac:dyDescent="0.25">
      <c r="A25" s="1" t="s">
        <v>22</v>
      </c>
      <c r="B25" s="4">
        <f>res_share_region_target*'LEAP Scenario'!B25</f>
        <v>6.8772868217054262</v>
      </c>
      <c r="C25" s="4">
        <f>res_share_region_target*'LEAP Scenario'!C25</f>
        <v>5.5540620155038765</v>
      </c>
      <c r="D25" s="4">
        <f>res_share_region_target*'LEAP Scenario'!D25</f>
        <v>4.7009302325581395</v>
      </c>
      <c r="E25" s="5">
        <f>res_share_region_target*'LEAP Scenario'!E25</f>
        <v>3.900031007751938</v>
      </c>
      <c r="G25" s="1" t="s">
        <v>22</v>
      </c>
      <c r="H25" s="4">
        <f>res_share_region_target*'LEAP Scenario'!H25</f>
        <v>6.7902325581395351</v>
      </c>
      <c r="I25" s="4">
        <f>res_share_region_target*'LEAP Scenario'!I25</f>
        <v>4.5268217054263564</v>
      </c>
      <c r="J25" s="4">
        <f>res_share_region_target*'LEAP Scenario'!J25</f>
        <v>2.4549302325581395</v>
      </c>
      <c r="K25" s="5">
        <f>res_share_region_target*'LEAP Scenario'!K25</f>
        <v>0.27857364341085272</v>
      </c>
    </row>
    <row r="26" spans="1:16" x14ac:dyDescent="0.25">
      <c r="A26" s="1" t="s">
        <v>23</v>
      </c>
      <c r="B26" s="4">
        <f>res_share_region_target*'LEAP Scenario'!B26</f>
        <v>5.2232558139534882E-2</v>
      </c>
      <c r="C26" s="4">
        <f>res_share_region_target*'LEAP Scenario'!C26</f>
        <v>0.15669767441860466</v>
      </c>
      <c r="D26" s="4">
        <f>res_share_region_target*'LEAP Scenario'!D26</f>
        <v>0.24375193798449613</v>
      </c>
      <c r="E26" s="5">
        <f>res_share_region_target*'LEAP Scenario'!E26</f>
        <v>0.36562790697674419</v>
      </c>
      <c r="G26" s="1" t="s">
        <v>23</v>
      </c>
      <c r="H26" s="4">
        <f>res_share_region_target*'LEAP Scenario'!H26</f>
        <v>5.2232558139534882E-2</v>
      </c>
      <c r="I26" s="4">
        <f>res_share_region_target*'LEAP Scenario'!I26</f>
        <v>1.4276899224806201</v>
      </c>
      <c r="J26" s="4">
        <f>res_share_region_target*'LEAP Scenario'!J26</f>
        <v>4.1437829457364339</v>
      </c>
      <c r="K26" s="5">
        <f>res_share_region_target*'LEAP Scenario'!K26</f>
        <v>8.0264031007751946</v>
      </c>
    </row>
    <row r="27" spans="1:16" x14ac:dyDescent="0.25">
      <c r="A27" s="1" t="s">
        <v>20</v>
      </c>
      <c r="B27" s="4">
        <f>res_share_region_target*'LEAP Scenario'!B27</f>
        <v>1.8455503875968993</v>
      </c>
      <c r="C27" s="4">
        <f>res_share_region_target*'LEAP Scenario'!C27</f>
        <v>1.7410852713178295</v>
      </c>
      <c r="D27" s="4">
        <f>res_share_region_target*'LEAP Scenario'!D27</f>
        <v>1.7062635658914729</v>
      </c>
      <c r="E27" s="5">
        <f>res_share_region_target*'LEAP Scenario'!E27</f>
        <v>1.6888527131782947</v>
      </c>
      <c r="G27" s="1" t="s">
        <v>20</v>
      </c>
      <c r="H27" s="4">
        <f>res_share_region_target*'LEAP Scenario'!H27</f>
        <v>1.7062635658914729</v>
      </c>
      <c r="I27" s="4">
        <f>res_share_region_target*'LEAP Scenario'!I27</f>
        <v>1.062062015503876</v>
      </c>
      <c r="J27" s="4">
        <f>res_share_region_target*'LEAP Scenario'!J27</f>
        <v>0.57455813953488377</v>
      </c>
      <c r="K27" s="5">
        <f>res_share_region_target*'LEAP Scenario'!K27</f>
        <v>1.7410852713178295E-2</v>
      </c>
    </row>
    <row r="28" spans="1:16" x14ac:dyDescent="0.25">
      <c r="A28" s="1" t="s">
        <v>18</v>
      </c>
      <c r="B28" s="4">
        <f>res_share_region_target*'LEAP Scenario'!B28</f>
        <v>1.7410852713178295E-2</v>
      </c>
      <c r="C28" s="4">
        <f>res_share_region_target*'LEAP Scenario'!C28</f>
        <v>1.7410852713178295E-2</v>
      </c>
      <c r="D28" s="4">
        <f>res_share_region_target*'LEAP Scenario'!D28</f>
        <v>1.7410852713178295E-2</v>
      </c>
      <c r="E28" s="5">
        <f>res_share_region_target*'LEAP Scenario'!E28</f>
        <v>0</v>
      </c>
      <c r="G28" s="1" t="s">
        <v>18</v>
      </c>
      <c r="H28" s="4">
        <f>res_share_region_target*'LEAP Scenario'!H28</f>
        <v>0.13928682170542636</v>
      </c>
      <c r="I28" s="4">
        <f>res_share_region_target*'LEAP Scenario'!I28</f>
        <v>0.66161240310077518</v>
      </c>
      <c r="J28" s="4">
        <f>res_share_region_target*'LEAP Scenario'!J28</f>
        <v>1.062062015503876</v>
      </c>
      <c r="K28" s="5">
        <f>res_share_region_target*'LEAP Scenario'!K28</f>
        <v>1.5147441860465116</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59.492883720930237</v>
      </c>
      <c r="C30" s="8">
        <f>SUM(C24:C29)</f>
        <v>48.73297674418604</v>
      </c>
      <c r="D30" s="8">
        <f>SUM(D24:D29)</f>
        <v>41.838279069767445</v>
      </c>
      <c r="E30" s="9">
        <f>SUM(E24:E29)</f>
        <v>35.483317829457363</v>
      </c>
      <c r="G30" s="7" t="s">
        <v>12</v>
      </c>
      <c r="H30" s="8">
        <f>SUM(H24:H29)</f>
        <v>59.579937984496134</v>
      </c>
      <c r="I30" s="8">
        <f>SUM(I24:I29)</f>
        <v>44.136511627906977</v>
      </c>
      <c r="J30" s="8">
        <f>SUM(J24:J29)</f>
        <v>28.536387596899225</v>
      </c>
      <c r="K30" s="9">
        <f>SUM(K24:K29)</f>
        <v>11.421519379844963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0.20893023255813953</v>
      </c>
      <c r="C49" s="20">
        <f>res_share_region_target*'LEAP Scenario'!C49</f>
        <v>0.9750077519379845</v>
      </c>
      <c r="D49" s="20">
        <f>res_share_region_target*'LEAP Scenario'!D49</f>
        <v>1.5321550387596901</v>
      </c>
      <c r="E49" s="20">
        <f>res_share_region_target*'LEAP Scenario'!E49</f>
        <v>2.246</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88569.007751937999</v>
      </c>
      <c r="J21" s="63">
        <f>'2.Heat Targets'!C24</f>
        <v>74257.286821705435</v>
      </c>
      <c r="K21" s="63">
        <f>'2.Heat Targets'!D24</f>
        <v>61355.84496124032</v>
      </c>
      <c r="L21" s="64">
        <f>'2.Heat Targets'!E24</f>
        <v>41873.100775193809</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706.88062015503874</v>
      </c>
      <c r="J22" s="63">
        <f>'2.Heat Targets'!C25</f>
        <v>3788.6015503875969</v>
      </c>
      <c r="K22" s="63">
        <f>'2.Heat Targets'!D25</f>
        <v>7458.8093023255806</v>
      </c>
      <c r="L22" s="64">
        <f>'2.Heat Targets'!E25</f>
        <v>7989.8403100775195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86288.186046511633</v>
      </c>
      <c r="J23" s="63">
        <f>'2.Heat Targets'!C26</f>
        <v>70444.310077519389</v>
      </c>
      <c r="K23" s="63">
        <f>'2.Heat Targets'!D26</f>
        <v>53277.20930232558</v>
      </c>
      <c r="L23" s="64">
        <f>'2.Heat Targets'!E26</f>
        <v>30016.310077519385</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950.63255813953481</v>
      </c>
      <c r="J24" s="63">
        <f>'2.Heat Targets'!C27</f>
        <v>4345.7488372093021</v>
      </c>
      <c r="K24" s="63">
        <f>'2.Heat Targets'!D27</f>
        <v>9871.9534883720917</v>
      </c>
      <c r="L24" s="64">
        <f>'2.Heat Targets'!E27</f>
        <v>13789.39534883721</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2037.0697674418634</v>
      </c>
      <c r="J25" s="63">
        <f>'2.Heat Targets'!C28</f>
        <v>3255.8294573643407</v>
      </c>
      <c r="K25" s="63">
        <f>'2.Heat Targets'!D28</f>
        <v>5665.491472868227</v>
      </c>
      <c r="L25" s="64">
        <f>'2.Heat Targets'!E28</f>
        <v>6057.2356589147312</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7">
        <f>'2.Heat Targets'!B29</f>
        <v>30.512499999999999</v>
      </c>
      <c r="J26" s="307">
        <f>'2.Heat Targets'!C29</f>
        <v>0</v>
      </c>
      <c r="K26" s="307">
        <f>'2.Heat Targets'!D29</f>
        <v>0</v>
      </c>
      <c r="L26" s="307">
        <f>'2.Heat Targets'!E29</f>
        <v>0</v>
      </c>
      <c r="O26" s="307">
        <f>'2.Heat Targets'!B29</f>
        <v>30.512499999999999</v>
      </c>
      <c r="P26" s="307"/>
      <c r="Q26" s="307"/>
      <c r="R26" s="30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66.761811304936117</v>
      </c>
      <c r="J27" s="63">
        <f>'2.Heat Targets'!C30</f>
        <v>106.70477533353022</v>
      </c>
      <c r="K27" s="63">
        <f>'2.Heat Targets'!D30</f>
        <v>185.67772135577968</v>
      </c>
      <c r="L27" s="64">
        <f>'2.Heat Targets'!E30</f>
        <v>198.51653122211329</v>
      </c>
      <c r="O27" s="62">
        <f>O25/$O$26</f>
        <v>333.49856023572715</v>
      </c>
      <c r="P27" s="63">
        <f>P25/$O$26</f>
        <v>1444.367909932947</v>
      </c>
      <c r="Q27" s="63">
        <f>Q25/$O$26</f>
        <v>2177.7372936046868</v>
      </c>
      <c r="R27" s="64">
        <f>R25/$O$26</f>
        <v>4638.4614529623832</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413</v>
      </c>
      <c r="J28" s="203">
        <f>'2.Heat Targets'!C31</f>
        <v>437.78000000000003</v>
      </c>
      <c r="K28" s="203">
        <f>'2.Heat Targets'!D31</f>
        <v>464.04680000000008</v>
      </c>
      <c r="L28" s="203">
        <f>'2.Heat Targets'!E31</f>
        <v>491.88960800000012</v>
      </c>
      <c r="O28" s="203">
        <f>'2.Heat Targets'!B31</f>
        <v>413</v>
      </c>
      <c r="P28" s="203">
        <f>'2.Heat Targets'!C31</f>
        <v>437.78000000000003</v>
      </c>
      <c r="Q28" s="203">
        <f>'2.Heat Targets'!D31</f>
        <v>464.04680000000008</v>
      </c>
      <c r="R28" s="203">
        <f>'2.Heat Targets'!E31</f>
        <v>491.88960800000012</v>
      </c>
      <c r="T28" t="str">
        <f>'2.Heat Targets'!G31</f>
        <v>Enter a projection of the number of future residences in the area by each year.</v>
      </c>
    </row>
    <row r="29" spans="8:20" x14ac:dyDescent="0.25">
      <c r="I29" s="86">
        <f>'2.Heat Targets'!B32</f>
        <v>0.16165087483035379</v>
      </c>
      <c r="J29" s="87">
        <f>'2.Heat Targets'!C32</f>
        <v>0.24374063532717397</v>
      </c>
      <c r="K29" s="87">
        <f>'2.Heat Targets'!D32</f>
        <v>0.4001271452702177</v>
      </c>
      <c r="L29" s="88">
        <f>'2.Heat Targets'!E32</f>
        <v>0.403579437323899</v>
      </c>
      <c r="O29" s="104">
        <f>O27/O28</f>
        <v>0.8075025671567243</v>
      </c>
      <c r="P29" s="105">
        <f>P27/P28</f>
        <v>3.2993008130406754</v>
      </c>
      <c r="Q29" s="105">
        <f>Q27/Q28</f>
        <v>4.6929260014392655</v>
      </c>
      <c r="R29" s="106">
        <f>R27/R28</f>
        <v>9.429883001233037</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122.05</v>
      </c>
      <c r="J34" s="94">
        <f>'2.Heat Targets'!C54</f>
        <v>114.61286386457959</v>
      </c>
      <c r="K34" s="94">
        <f>'2.Heat Targets'!D54</f>
        <v>109.84112047994248</v>
      </c>
      <c r="L34" s="95">
        <f>'2.Heat Targets'!E54</f>
        <v>109.73578241865454</v>
      </c>
      <c r="O34" s="107">
        <f>'1.Current Heat'!B10</f>
        <v>122.05</v>
      </c>
      <c r="P34" s="108">
        <f>P29*($O$34-$O$26)+(1-P29)*$O$34</f>
        <v>21.380083942096405</v>
      </c>
      <c r="Q34" s="108">
        <f>Q29*($O$34-$O$26)+(1-Q29)*$O$34</f>
        <v>-21.142904618915622</v>
      </c>
      <c r="R34" s="110">
        <f>R29*($O$34-$O$26)+(1-R29)*$O$34</f>
        <v>-165.67930507512301</v>
      </c>
      <c r="T34" t="str">
        <f>'2.Heat Targets'!G54</f>
        <v>This is a projection of the average area residential heating load, in millions of Btu, computed based on values inputted above and in the "1.Current Heat" tab</v>
      </c>
    </row>
    <row r="35" spans="9:20" x14ac:dyDescent="0.25">
      <c r="I35" s="81">
        <f>'2.Heat Targets'!B55</f>
        <v>31827.038759689924</v>
      </c>
      <c r="J35" s="82">
        <f>'2.Heat Targets'!C55</f>
        <v>23104.201550387599</v>
      </c>
      <c r="K35" s="82">
        <f>'2.Heat Targets'!D55</f>
        <v>14694.759689922481</v>
      </c>
      <c r="L35" s="83">
        <f>'2.Heat Targets'!E55</f>
        <v>2211.1782945736436</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260.77049372953644</v>
      </c>
      <c r="J37" s="63">
        <f>'2.Heat Targets'!C57</f>
        <v>201.58471546166305</v>
      </c>
      <c r="K37" s="63">
        <f>'2.Heat Targets'!D57</f>
        <v>133.78195365920195</v>
      </c>
      <c r="L37" s="64">
        <f>'2.Heat Targets'!E57</f>
        <v>20.150020766587748</v>
      </c>
      <c r="O37" s="62">
        <f>O35/O34</f>
        <v>2285.4839148881174</v>
      </c>
      <c r="P37" s="62">
        <f>P35/P34</f>
        <v>9954.3432533062714</v>
      </c>
      <c r="Q37" s="62">
        <f>Q35/Q34</f>
        <v>-7072.859679894601</v>
      </c>
      <c r="R37" s="112">
        <f>R35/R34</f>
        <v>-297.29926529758103</v>
      </c>
      <c r="T37" t="str">
        <f>'2.Heat Targets'!G57</f>
        <v>This formula computes an estimate the number of residences using biofuel-blended heat energy in the 90x50 scenario based on values inputted in the "1.Current Heat" tab.</v>
      </c>
    </row>
    <row r="38" spans="9:20" x14ac:dyDescent="0.25">
      <c r="I38" s="65">
        <f>'2.Heat Targets'!B58</f>
        <v>0.63140555382454344</v>
      </c>
      <c r="J38" s="66">
        <f>'2.Heat Targets'!C58</f>
        <v>0.46047036288012938</v>
      </c>
      <c r="K38" s="66">
        <f>'2.Heat Targets'!D58</f>
        <v>0.28829409805045941</v>
      </c>
      <c r="L38" s="67">
        <f>'2.Heat Targets'!E58</f>
        <v>4.0964518133482793E-2</v>
      </c>
      <c r="O38" s="109">
        <f>O37/O28</f>
        <v>5.5338593580826085</v>
      </c>
      <c r="P38" s="109">
        <f>P37/P28</f>
        <v>22.738232110435082</v>
      </c>
      <c r="Q38" s="109">
        <f>Q37/Q28</f>
        <v>-15.24169475987034</v>
      </c>
      <c r="R38" s="113">
        <f>R37/R28</f>
        <v>-0.60440241156219132</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37868.604651162801</v>
      </c>
      <c r="J39" s="82">
        <f>'2.Heat Targets'!C59</f>
        <v>31739.984496124031</v>
      </c>
      <c r="K39" s="82">
        <f>'2.Heat Targets'!D59</f>
        <v>25158.682170542634</v>
      </c>
      <c r="L39" s="83">
        <f>'2.Heat Targets'!E59</f>
        <v>18211.7519379845</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310.27123843640152</v>
      </c>
      <c r="J40" s="63">
        <f>'2.Heat Targets'!C60</f>
        <v>276.93212983165915</v>
      </c>
      <c r="K40" s="63">
        <f>'2.Heat Targets'!D60</f>
        <v>229.04611734306491</v>
      </c>
      <c r="L40" s="64">
        <f>'2.Heat Targets'!E60</f>
        <v>165.96001355788022</v>
      </c>
      <c r="O40" s="62">
        <f>O39/O34</f>
        <v>1534.6280934664717</v>
      </c>
      <c r="P40" s="62">
        <f>P39/P34</f>
        <v>9047.8247991105072</v>
      </c>
      <c r="Q40" s="62">
        <f>Q39/Q34</f>
        <v>-9230.4727864963261</v>
      </c>
      <c r="R40" s="112">
        <f>R39/R34</f>
        <v>-1204.4973421843017</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0.75126207853850246</v>
      </c>
      <c r="J41" s="66">
        <f>'2.Heat Targets'!C61</f>
        <v>0.63258287229124022</v>
      </c>
      <c r="K41" s="66">
        <f>'2.Heat Targets'!D61</f>
        <v>0.49358408967169876</v>
      </c>
      <c r="L41" s="67">
        <f>'2.Heat Targets'!E61</f>
        <v>0.33739280289466933</v>
      </c>
      <c r="O41" s="109">
        <f>O40/O28</f>
        <v>3.7158065217105851</v>
      </c>
      <c r="P41" s="109">
        <f>P40/P28</f>
        <v>20.667515188246394</v>
      </c>
      <c r="Q41" s="109">
        <f>Q40/Q28</f>
        <v>-19.891254042687773</v>
      </c>
      <c r="R41" s="113">
        <f>R40/R28</f>
        <v>-2.4487147575280783</v>
      </c>
      <c r="T41" t="str">
        <f>'2.Heat Targets'!G61</f>
        <v>This formula computes the estimated share of area residences using Wood heat  in the 90x50 scenario, based on values inputted in the "1.Current Heat" tab.</v>
      </c>
    </row>
    <row r="42" spans="9:20" x14ac:dyDescent="0.25">
      <c r="I42" s="81">
        <f>'2.Heat Targets'!B62</f>
        <v>679.02325581395348</v>
      </c>
      <c r="J42" s="82">
        <f>'2.Heat Targets'!C62</f>
        <v>2716.0930232558139</v>
      </c>
      <c r="K42" s="82">
        <f>'2.Heat Targets'!D62</f>
        <v>5484.4186046511632</v>
      </c>
      <c r="L42" s="83">
        <f>'2.Heat Targets'!E62</f>
        <v>6894.6976744186049</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19.074803229981722</v>
      </c>
      <c r="J43" s="63">
        <f>'2.Heat Targets'!C63</f>
        <v>82.152987280834481</v>
      </c>
      <c r="K43" s="63">
        <f>'2.Heat Targets'!D63</f>
        <v>174.75663970292669</v>
      </c>
      <c r="L43" s="64">
        <f>'2.Heat Targets'!E63</f>
        <v>221.75289180830239</v>
      </c>
      <c r="O43" s="62">
        <f>O42/((0.7*O34)/2.4)</f>
        <v>170.4396646000753</v>
      </c>
      <c r="P43" s="112">
        <f>P42/((0.75*P34)/2.6)</f>
        <v>4598.3273645957033</v>
      </c>
      <c r="Q43" s="112">
        <f>Q42/((0.8*Q34)/2.8)</f>
        <v>-10930.842062541164</v>
      </c>
      <c r="R43" s="64">
        <f>R42/((0.85*R34)/3)</f>
        <v>-2120.6955482539147</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4.618596423724388E-2</v>
      </c>
      <c r="J44" s="66">
        <f>'2.Heat Targets'!C64</f>
        <v>0.18765815542243702</v>
      </c>
      <c r="K44" s="66">
        <f>'2.Heat Targets'!D64</f>
        <v>0.37659270509553489</v>
      </c>
      <c r="L44" s="67">
        <f>'2.Heat Targets'!E64</f>
        <v>0.45081841169594772</v>
      </c>
      <c r="O44" s="109">
        <f>O43/O28</f>
        <v>0.41268683922536392</v>
      </c>
      <c r="P44" s="109">
        <f>P43/P28</f>
        <v>10.503740153948794</v>
      </c>
      <c r="Q44" s="109">
        <f>Q43/Q28</f>
        <v>-23.555473418933524</v>
      </c>
      <c r="R44" s="113">
        <f>R43/R28</f>
        <v>-4.311324154369844</v>
      </c>
      <c r="T44" t="str">
        <f>'2.Heat Targets'!G64</f>
        <v>This formula computes the estimated share of area residences using Heat Pumps in the 90x50 scenario based on values inputted above and in the "1.Current Heat" tab.</v>
      </c>
    </row>
    <row r="45" spans="9:20" x14ac:dyDescent="0.25">
      <c r="I45" s="81">
        <f>'2.Heat Targets'!B65</f>
        <v>12309.472868217055</v>
      </c>
      <c r="J45" s="82">
        <f>'2.Heat Targets'!C65</f>
        <v>9628.2015503875973</v>
      </c>
      <c r="K45" s="82">
        <f>'2.Heat Targets'!D65</f>
        <v>6163.4418604651164</v>
      </c>
      <c r="L45" s="83">
        <f>'2.Heat Targets'!E65</f>
        <v>2158.9457364341083</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100.85598417220038</v>
      </c>
      <c r="J46" s="63">
        <f>'2.Heat Targets'!C66</f>
        <v>84.006290618161003</v>
      </c>
      <c r="K46" s="63">
        <f>'2.Heat Targets'!D66</f>
        <v>56.112336013456733</v>
      </c>
      <c r="L46" s="64">
        <f>'2.Heat Targets'!E66</f>
        <v>19.674036024069924</v>
      </c>
      <c r="O46" s="62">
        <f>O45/O34</f>
        <v>1942.1048811181574</v>
      </c>
      <c r="P46" s="62">
        <f>P45/P34</f>
        <v>8744.2984421517194</v>
      </c>
      <c r="Q46" s="62">
        <f>Q45/Q34</f>
        <v>-5575.2115799459052</v>
      </c>
      <c r="R46" s="112">
        <f>R45/R34</f>
        <v>-180.62139054942114</v>
      </c>
      <c r="T46" t="str">
        <f>'2.Heat Targets'!G66</f>
        <v>This formula computes the estimates number of area residences using fossil heat in the 90x50 scenario based on values inputted in the "1.Current Heat" tab.</v>
      </c>
    </row>
    <row r="47" spans="9:20" x14ac:dyDescent="0.25">
      <c r="I47" s="65">
        <f>'2.Heat Targets'!B67</f>
        <v>0.24420335150653846</v>
      </c>
      <c r="J47" s="66">
        <f>'2.Heat Targets'!C67</f>
        <v>0.19189156795230708</v>
      </c>
      <c r="K47" s="66">
        <f>'2.Heat Targets'!D67</f>
        <v>0.12091956245244385</v>
      </c>
      <c r="L47" s="67">
        <f>'2.Heat Targets'!E67</f>
        <v>3.9996852350802088E-2</v>
      </c>
      <c r="O47" s="109">
        <f>O46/O28</f>
        <v>4.7024331261940855</v>
      </c>
      <c r="P47" s="109">
        <f>P46/P28</f>
        <v>19.974184389765906</v>
      </c>
      <c r="Q47" s="109">
        <f>Q46/Q28</f>
        <v>-12.014330407937097</v>
      </c>
      <c r="R47" s="113">
        <f>R46/R28</f>
        <v>-0.36719903736901288</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265</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1.7929043773688529E-3</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1.7410852713178295E-2</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6.3018590484192839E-4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8.2248115147361203E-3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29" zoomScale="70" zoomScaleNormal="70" workbookViewId="0">
      <selection activeCell="B33" sqref="B33"/>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61040.901995606058</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813</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517363.63636363635</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470800.90909090912</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57088.612034999998</v>
      </c>
      <c r="C22" s="266" t="s">
        <v>66</v>
      </c>
      <c r="D22" s="266"/>
      <c r="E22" s="266"/>
      <c r="F22" s="266"/>
      <c r="G22" s="266"/>
      <c r="H22" s="266"/>
      <c r="I22" s="266"/>
      <c r="J22" s="266"/>
      <c r="K22" s="266"/>
      <c r="L22" s="266"/>
      <c r="M22" s="266"/>
      <c r="N22" s="266"/>
    </row>
    <row r="23" spans="1:14" ht="36" customHeight="1" x14ac:dyDescent="0.25">
      <c r="B23" s="120">
        <f>B18-B20</f>
        <v>46562.727272727236</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3944.3286272727241</v>
      </c>
      <c r="C25" s="266" t="s">
        <v>69</v>
      </c>
      <c r="D25" s="266"/>
      <c r="E25" s="266"/>
      <c r="F25" s="266"/>
      <c r="G25" s="266"/>
      <c r="H25" s="266"/>
      <c r="I25" s="266"/>
      <c r="J25" s="266"/>
      <c r="K25" s="266"/>
      <c r="L25" s="266"/>
      <c r="M25" s="266"/>
      <c r="N25" s="266"/>
    </row>
    <row r="26" spans="1:14" ht="36" customHeight="1" x14ac:dyDescent="0.25">
      <c r="B26" s="122">
        <f>B22+B25</f>
        <v>61032.940662272726</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1</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2333.3333333333335</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7.961333333333334</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opLeftCell="A13"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63451.954257842219</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413</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122.05</v>
      </c>
      <c r="C10" s="279" t="s">
        <v>543</v>
      </c>
      <c r="D10" s="276"/>
      <c r="E10" s="276"/>
      <c r="F10" s="276"/>
      <c r="G10" s="276"/>
      <c r="H10" s="276"/>
      <c r="I10" s="276"/>
      <c r="J10" s="276"/>
      <c r="K10" s="276"/>
      <c r="L10" s="276"/>
      <c r="M10" s="276"/>
      <c r="N10" s="276"/>
      <c r="O10" s="212">
        <f>SUM('2.Heat Targets'!E58,'2.Heat Targets'!E61,'2.Heat Targets'!E64,'2.Heat Targets'!E67)</f>
        <v>0.86917258507490192</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50406.65</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12</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1087.1086881535182</v>
      </c>
      <c r="C24" s="272" t="s">
        <v>541</v>
      </c>
      <c r="D24" s="273"/>
      <c r="E24" s="273"/>
      <c r="F24" s="273"/>
      <c r="G24" s="273"/>
      <c r="H24" s="273"/>
      <c r="I24" s="273"/>
      <c r="J24" s="273"/>
      <c r="K24" s="273"/>
      <c r="L24" s="273"/>
      <c r="M24" s="273"/>
      <c r="N24" s="273"/>
      <c r="O24" s="212">
        <f ca="1">SUM('2.Heat Targets'!E76,'2.Heat Targets'!E79,'2.Heat Targets'!E82,'2.Heat Targets'!E85)</f>
        <v>0.44845155159783195</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2</v>
      </c>
      <c r="L28" s="41">
        <f t="shared" ca="1" si="1"/>
        <v>0.16666666666666666</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2</v>
      </c>
      <c r="L29" s="41">
        <f t="shared" ca="1" si="1"/>
        <v>0.16666666666666666</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1</v>
      </c>
      <c r="L30" s="41">
        <f t="shared" ca="1" si="1"/>
        <v>8.3333333333333329E-2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8.3333333333333329E-2</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8.3333333333333329E-2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8.3333333333333329E-2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3</v>
      </c>
      <c r="L39" s="41">
        <f t="shared" ca="1" si="1"/>
        <v>0.25</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8.3333333333333329E-2</v>
      </c>
      <c r="Q40" s="23"/>
    </row>
    <row r="41" spans="2:19" ht="33" customHeight="1" x14ac:dyDescent="0.25">
      <c r="B41" s="54"/>
      <c r="D41" s="42"/>
      <c r="E41" s="185">
        <f>SUM(E27:E40)</f>
        <v>18617</v>
      </c>
      <c r="F41" s="185"/>
      <c r="G41" s="185">
        <f>SUM(G27:G40)</f>
        <v>201453</v>
      </c>
      <c r="H41" s="43"/>
      <c r="I41" s="44">
        <v>13000000</v>
      </c>
      <c r="J41" s="43"/>
      <c r="K41" s="185">
        <f ca="1">SUM(K27:K40)</f>
        <v>12</v>
      </c>
      <c r="L41" s="45">
        <f ca="1">SUMPRODUCT(J27:J40,L27:L40)</f>
        <v>1087.1086881535182</v>
      </c>
      <c r="M41" s="277" t="s">
        <v>542</v>
      </c>
      <c r="N41" s="278"/>
      <c r="O41" s="278"/>
      <c r="P41" s="278"/>
      <c r="Q41" s="278"/>
      <c r="R41" s="278"/>
      <c r="S41" s="278"/>
    </row>
    <row r="42" spans="2:19" ht="22.5" customHeight="1" x14ac:dyDescent="0.25">
      <c r="B42" s="54"/>
    </row>
    <row r="43" spans="2:19" ht="37.5" customHeight="1" x14ac:dyDescent="0.25">
      <c r="B43" s="55">
        <f ca="1">B22*B24</f>
        <v>13045.304257842217</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7.5850377327026509E-4</v>
      </c>
      <c r="C45" s="266" t="s">
        <v>489</v>
      </c>
      <c r="D45" s="266"/>
      <c r="E45" s="266"/>
      <c r="F45" s="266"/>
      <c r="G45" s="266"/>
      <c r="H45" s="266"/>
      <c r="I45" s="266"/>
      <c r="J45" s="266"/>
      <c r="K45" s="266"/>
      <c r="L45" s="266"/>
      <c r="M45" s="266"/>
      <c r="N45" s="266"/>
      <c r="O45" s="266"/>
    </row>
    <row r="52" spans="4:4" x14ac:dyDescent="0.25">
      <c r="D52" s="23"/>
    </row>
  </sheetData>
  <mergeCells count="17">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76" zoomScale="70" zoomScaleNormal="70" workbookViewId="0">
      <selection activeCell="C82" sqref="C82:E82"/>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88569.007751937999</v>
      </c>
      <c r="C24" s="129">
        <f>'LEAP Region'!C14*1000</f>
        <v>74257.286821705435</v>
      </c>
      <c r="D24" s="129">
        <f>'LEAP Region'!D14*1000</f>
        <v>61355.84496124032</v>
      </c>
      <c r="E24" s="130">
        <f>'LEAP Region'!E14*1000</f>
        <v>41873.100775193809</v>
      </c>
      <c r="G24" s="301" t="s">
        <v>122</v>
      </c>
      <c r="H24" s="301"/>
      <c r="I24" s="301"/>
      <c r="J24" s="301"/>
      <c r="K24" s="301"/>
      <c r="L24" s="301"/>
      <c r="M24" s="301"/>
      <c r="N24" s="301"/>
    </row>
    <row r="25" spans="2:18" ht="56.25" customHeight="1" x14ac:dyDescent="0.25">
      <c r="B25" s="178">
        <f>('LEAP Region'!B7+'LEAP Region'!B8)*(2.4-1)*1000</f>
        <v>706.88062015503874</v>
      </c>
      <c r="C25" s="179">
        <f>('LEAP Region'!C7+'LEAP Region'!C8)*(2.6-1)*1000</f>
        <v>3788.6015503875969</v>
      </c>
      <c r="D25" s="179">
        <f>('LEAP Region'!D7+'LEAP Region'!D8)*(2.8-1)*1000</f>
        <v>7458.8093023255806</v>
      </c>
      <c r="E25" s="180">
        <f>('LEAP Region'!E7+'LEAP Region'!E8)*(2.3-1)*1000</f>
        <v>7989.8403100775195</v>
      </c>
      <c r="G25" s="301" t="s">
        <v>178</v>
      </c>
      <c r="H25" s="301"/>
      <c r="I25" s="301"/>
      <c r="J25" s="301"/>
      <c r="K25" s="301"/>
      <c r="L25" s="301"/>
      <c r="M25" s="301"/>
      <c r="N25" s="301"/>
    </row>
    <row r="26" spans="2:18" ht="56.25" customHeight="1" x14ac:dyDescent="0.25">
      <c r="B26" s="128">
        <f>'LEAP Region'!H14*1000</f>
        <v>86288.186046511633</v>
      </c>
      <c r="C26" s="129">
        <f>'LEAP Region'!I14*1000</f>
        <v>70444.310077519389</v>
      </c>
      <c r="D26" s="129">
        <f>'LEAP Region'!J14*1000</f>
        <v>53277.20930232558</v>
      </c>
      <c r="E26" s="130">
        <f>'LEAP Region'!K14*1000</f>
        <v>30016.310077519385</v>
      </c>
      <c r="G26" s="301" t="s">
        <v>123</v>
      </c>
      <c r="H26" s="301"/>
      <c r="I26" s="301"/>
      <c r="J26" s="301"/>
      <c r="K26" s="301"/>
      <c r="L26" s="301"/>
      <c r="M26" s="301"/>
      <c r="N26" s="301"/>
    </row>
    <row r="27" spans="2:18" ht="56.25" customHeight="1" thickBot="1" x14ac:dyDescent="0.3">
      <c r="B27" s="181">
        <f>('LEAP Region'!H7+'LEAP Region'!H8)*(2.4-1)*1000</f>
        <v>950.63255813953481</v>
      </c>
      <c r="C27" s="182">
        <f>('LEAP Region'!I7+'LEAP Region'!I8)*(2.6-1)*1000</f>
        <v>4345.7488372093021</v>
      </c>
      <c r="D27" s="182">
        <f>('LEAP Region'!J7+'LEAP Region'!J8)*(2.8-1)*1000</f>
        <v>9871.9534883720917</v>
      </c>
      <c r="E27" s="183">
        <f>('LEAP Region'!K7+'LEAP Region'!K8)*(3-1)*1000</f>
        <v>13789.39534883721</v>
      </c>
      <c r="G27" s="301" t="s">
        <v>178</v>
      </c>
      <c r="H27" s="301"/>
      <c r="I27" s="301"/>
      <c r="J27" s="301"/>
      <c r="K27" s="301"/>
      <c r="L27" s="301"/>
      <c r="M27" s="301"/>
      <c r="N27" s="301"/>
    </row>
    <row r="28" spans="2:18" ht="56.25" customHeight="1" thickTop="1" x14ac:dyDescent="0.25">
      <c r="B28" s="128">
        <f>B24+B25-B26-B27</f>
        <v>2037.0697674418634</v>
      </c>
      <c r="C28" s="129">
        <f>C24+C25-C26-C27</f>
        <v>3255.8294573643407</v>
      </c>
      <c r="D28" s="129">
        <f>D24+D25-D26-D27</f>
        <v>5665.491472868227</v>
      </c>
      <c r="E28" s="130">
        <f>E24+E25-E26-E27</f>
        <v>6057.2356589147312</v>
      </c>
      <c r="G28" s="301" t="s">
        <v>177</v>
      </c>
      <c r="H28" s="301"/>
      <c r="I28" s="301"/>
      <c r="J28" s="301"/>
      <c r="K28" s="301"/>
      <c r="L28" s="301"/>
      <c r="M28" s="301"/>
      <c r="N28" s="301"/>
    </row>
    <row r="29" spans="2:18" ht="56.25" customHeight="1" x14ac:dyDescent="0.25">
      <c r="B29" s="280">
        <f>0.25*'1.Current Heat'!B10</f>
        <v>30.512499999999999</v>
      </c>
      <c r="C29" s="281"/>
      <c r="D29" s="281"/>
      <c r="E29" s="282"/>
      <c r="G29" s="301" t="s">
        <v>124</v>
      </c>
      <c r="H29" s="301"/>
      <c r="I29" s="301"/>
      <c r="J29" s="301"/>
      <c r="K29" s="301"/>
      <c r="L29" s="301"/>
      <c r="M29" s="301"/>
      <c r="N29" s="301"/>
      <c r="R29">
        <v>60</v>
      </c>
    </row>
    <row r="30" spans="2:18" ht="56.25" customHeight="1" x14ac:dyDescent="0.25">
      <c r="B30" s="128">
        <f>B28/$B$29</f>
        <v>66.761811304936117</v>
      </c>
      <c r="C30" s="129">
        <f>C28/$B$29</f>
        <v>106.70477533353022</v>
      </c>
      <c r="D30" s="129">
        <f>D28/$B$29</f>
        <v>185.67772135577968</v>
      </c>
      <c r="E30" s="130">
        <f>E28/$B$29</f>
        <v>198.51653122211329</v>
      </c>
      <c r="G30" s="301" t="s">
        <v>125</v>
      </c>
      <c r="H30" s="301"/>
      <c r="I30" s="301"/>
      <c r="J30" s="301"/>
      <c r="K30" s="301"/>
      <c r="L30" s="301"/>
      <c r="M30" s="301"/>
      <c r="N30" s="301"/>
      <c r="R30">
        <v>96</v>
      </c>
    </row>
    <row r="31" spans="2:18" ht="56.25" customHeight="1" x14ac:dyDescent="0.25">
      <c r="B31" s="131">
        <f>'1.Current Heat'!B8</f>
        <v>413</v>
      </c>
      <c r="C31" s="132">
        <f t="shared" ref="C31:E31" si="0">B31*1.06</f>
        <v>437.78000000000003</v>
      </c>
      <c r="D31" s="132">
        <f t="shared" si="0"/>
        <v>464.04680000000008</v>
      </c>
      <c r="E31" s="133">
        <f t="shared" si="0"/>
        <v>491.88960800000012</v>
      </c>
      <c r="G31" s="301" t="s">
        <v>126</v>
      </c>
      <c r="H31" s="301"/>
      <c r="I31" s="301"/>
      <c r="J31" s="301"/>
      <c r="K31" s="301"/>
      <c r="L31" s="301"/>
      <c r="M31" s="301"/>
      <c r="N31" s="301"/>
      <c r="O31" s="186">
        <f>(E31/B31)^(1/(E23-B23))-1</f>
        <v>5.006971033976404E-3</v>
      </c>
      <c r="R31">
        <f>R29+R30</f>
        <v>156</v>
      </c>
    </row>
    <row r="32" spans="2:18" ht="56.25" customHeight="1" x14ac:dyDescent="0.25">
      <c r="B32" s="134">
        <f>B30/B31</f>
        <v>0.16165087483035379</v>
      </c>
      <c r="C32" s="135">
        <f>C30/C31</f>
        <v>0.24374063532717397</v>
      </c>
      <c r="D32" s="135">
        <f>D30/D31</f>
        <v>0.4001271452702177</v>
      </c>
      <c r="E32" s="136">
        <f>E30/E31</f>
        <v>0.403579437323899</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7410.5551747772442</v>
      </c>
      <c r="C37" s="129">
        <f>('LEAP Region'!O11-'LEAP Region'!O6)*1000</f>
        <v>7048.663468128856</v>
      </c>
      <c r="D37" s="129">
        <f>('LEAP Region'!P11-'LEAP Region'!P6)*1000</f>
        <v>6522.2755311857445</v>
      </c>
      <c r="E37" s="130">
        <f>('LEAP Region'!Q11-'LEAP Region'!Q6)*1000</f>
        <v>5790.2673063742295</v>
      </c>
      <c r="G37" s="301" t="s">
        <v>179</v>
      </c>
      <c r="H37" s="301"/>
      <c r="I37" s="301"/>
      <c r="J37" s="301"/>
      <c r="K37" s="301"/>
      <c r="L37" s="301"/>
      <c r="M37" s="301"/>
      <c r="N37" s="301"/>
    </row>
    <row r="38" spans="2:34" ht="56.25" customHeight="1" x14ac:dyDescent="0.25">
      <c r="B38" s="128">
        <f>'LEAP Region'!N6*1000</f>
        <v>6201.5078821110346</v>
      </c>
      <c r="C38" s="129">
        <f>'LEAP Region'!O6*1000</f>
        <v>6596.2988348183681</v>
      </c>
      <c r="D38" s="129">
        <f>'LEAP Region'!P6*1000</f>
        <v>6884.1672378341327</v>
      </c>
      <c r="E38" s="130">
        <f>'LEAP Region'!Q6*1000</f>
        <v>7492.8032899246055</v>
      </c>
      <c r="F38" s="184"/>
      <c r="G38" s="301" t="s">
        <v>97</v>
      </c>
      <c r="H38" s="301"/>
      <c r="I38" s="301"/>
      <c r="J38" s="301"/>
      <c r="K38" s="301"/>
      <c r="L38" s="301"/>
      <c r="M38" s="301"/>
      <c r="N38" s="301"/>
    </row>
    <row r="39" spans="2:34" ht="56.25" customHeight="1" x14ac:dyDescent="0.25">
      <c r="B39" s="128">
        <f>0.005*B38</f>
        <v>31.007539410555175</v>
      </c>
      <c r="C39" s="129">
        <f>B39-(($B$39-$E$39)/3)</f>
        <v>145.55174777244687</v>
      </c>
      <c r="D39" s="129">
        <f>C39-(($B$39-$E$39)/3)</f>
        <v>260.09595613433856</v>
      </c>
      <c r="E39" s="130">
        <f>0.05*E38</f>
        <v>374.64016449623028</v>
      </c>
      <c r="G39" s="301" t="s">
        <v>195</v>
      </c>
      <c r="H39" s="301"/>
      <c r="I39" s="301"/>
      <c r="J39" s="301"/>
      <c r="K39" s="301"/>
      <c r="L39" s="301"/>
      <c r="M39" s="301"/>
      <c r="N39" s="301"/>
      <c r="V39" s="21"/>
      <c r="W39" s="21"/>
      <c r="X39" s="21"/>
      <c r="Y39" s="21"/>
      <c r="AH39" s="21"/>
    </row>
    <row r="40" spans="2:34" ht="56.25" customHeight="1" x14ac:dyDescent="0.25">
      <c r="B40" s="142">
        <f>B39*(2.4-1)</f>
        <v>43.410555174777244</v>
      </c>
      <c r="C40" s="143">
        <f>C39*(2.6-1)</f>
        <v>232.882796435915</v>
      </c>
      <c r="D40" s="143">
        <f>D39*(2.8-1)</f>
        <v>468.17272104180938</v>
      </c>
      <c r="E40" s="144">
        <f>E39*(3-1)</f>
        <v>749.28032899246057</v>
      </c>
      <c r="G40" s="301" t="s">
        <v>196</v>
      </c>
      <c r="H40" s="301"/>
      <c r="I40" s="301"/>
      <c r="J40" s="301"/>
      <c r="K40" s="301"/>
      <c r="L40" s="301"/>
      <c r="M40" s="301"/>
      <c r="N40" s="301"/>
      <c r="V40" s="21"/>
      <c r="W40" s="21"/>
      <c r="X40" s="21"/>
      <c r="Y40" s="21"/>
      <c r="AH40" s="21"/>
    </row>
    <row r="41" spans="2:34" ht="56.25" customHeight="1" x14ac:dyDescent="0.25">
      <c r="B41" s="128">
        <f>('LEAP Region'!T11-'LEAP Region'!T6)*1000</f>
        <v>7385.8807402330367</v>
      </c>
      <c r="C41" s="129">
        <f>('LEAP Region'!U11-'LEAP Region'!U6)*1000</f>
        <v>6867.717614804661</v>
      </c>
      <c r="D41" s="129">
        <f>('LEAP Region'!V11-'LEAP Region'!V6)*1000</f>
        <v>6176.8334475668271</v>
      </c>
      <c r="E41" s="130">
        <f>('LEAP Region'!W11-'LEAP Region'!W6)*1000</f>
        <v>5181.6312542837568</v>
      </c>
      <c r="G41" s="301" t="s">
        <v>197</v>
      </c>
      <c r="H41" s="301"/>
      <c r="I41" s="301"/>
      <c r="J41" s="301"/>
      <c r="K41" s="301"/>
      <c r="L41" s="301"/>
      <c r="M41" s="301"/>
      <c r="N41" s="301"/>
      <c r="AH41" s="21"/>
    </row>
    <row r="42" spans="2:34" ht="56.25" customHeight="1" x14ac:dyDescent="0.25">
      <c r="B42" s="128">
        <f>'LEAP Region'!T6*1000</f>
        <v>6119.2597669636734</v>
      </c>
      <c r="C42" s="129">
        <f>'LEAP Region'!U6*1000</f>
        <v>6061.6860863605207</v>
      </c>
      <c r="D42" s="129">
        <f>'LEAP Region'!V6*1000</f>
        <v>5872.5154215215898</v>
      </c>
      <c r="E42" s="130">
        <f>'LEAP Region'!W6*1000</f>
        <v>5691.5695681973948</v>
      </c>
      <c r="G42" s="301" t="s">
        <v>98</v>
      </c>
      <c r="H42" s="301"/>
      <c r="I42" s="301"/>
      <c r="J42" s="301"/>
      <c r="K42" s="301"/>
      <c r="L42" s="301"/>
      <c r="M42" s="301"/>
      <c r="N42" s="301"/>
      <c r="V42" s="29"/>
      <c r="W42" s="29"/>
      <c r="X42" s="29"/>
      <c r="Y42" s="29"/>
      <c r="AH42" s="21"/>
    </row>
    <row r="43" spans="2:34" ht="56.25" customHeight="1" x14ac:dyDescent="0.25">
      <c r="B43" s="128">
        <f>B39</f>
        <v>31.007539410555175</v>
      </c>
      <c r="C43" s="129">
        <f>B43-(($B$43-$E$43)/3)</f>
        <v>174.67671921407359</v>
      </c>
      <c r="D43" s="129">
        <f>C43-(($B$43-$E$43)/3)</f>
        <v>318.34589901759199</v>
      </c>
      <c r="E43" s="130">
        <f>0.8*((E37+E39+E40-E41)/3)</f>
        <v>462.01507882111036</v>
      </c>
      <c r="G43" s="301" t="s">
        <v>142</v>
      </c>
      <c r="H43" s="301"/>
      <c r="I43" s="301"/>
      <c r="J43" s="301"/>
      <c r="K43" s="301"/>
      <c r="L43" s="301"/>
      <c r="M43" s="301"/>
      <c r="N43" s="301"/>
      <c r="AH43" s="21"/>
    </row>
    <row r="44" spans="2:34" ht="56.25" customHeight="1" x14ac:dyDescent="0.25">
      <c r="B44" s="128">
        <f>B43*(2.4-1)</f>
        <v>43.410555174777244</v>
      </c>
      <c r="C44" s="129">
        <f>C43*(2.6-1)</f>
        <v>279.48275074251774</v>
      </c>
      <c r="D44" s="129">
        <f>D43*(2.8-1)</f>
        <v>573.02261823166555</v>
      </c>
      <c r="E44" s="130">
        <f>E43*(3-1)</f>
        <v>924.03015764222073</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24.674434544207372</v>
      </c>
      <c r="C45" s="129">
        <f>C37+C39+C40-C41-C43-C44</f>
        <v>105.2209275759659</v>
      </c>
      <c r="D45" s="129">
        <f>D37+D39+D40-D41-D43-D44</f>
        <v>182.34224354580806</v>
      </c>
      <c r="E45" s="130">
        <f>E37+E39+E40-E41-E43-E44</f>
        <v>346.51130911583277</v>
      </c>
      <c r="F45" s="92"/>
      <c r="G45" s="301" t="s">
        <v>149</v>
      </c>
      <c r="H45" s="301"/>
      <c r="I45" s="301"/>
      <c r="J45" s="301"/>
      <c r="K45" s="301"/>
      <c r="L45" s="301"/>
      <c r="M45" s="301"/>
      <c r="N45" s="301"/>
      <c r="R45">
        <v>6</v>
      </c>
      <c r="AH45" s="21"/>
    </row>
    <row r="46" spans="2:34" ht="56.25" customHeight="1" x14ac:dyDescent="0.25">
      <c r="B46" s="283">
        <f ca="1">0.2*'1.Current Heat'!B24</f>
        <v>217.42173763070366</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0.11348651157465002</v>
      </c>
      <c r="C47" s="129">
        <f ca="1">C45/$B$46</f>
        <v>0.48394851739565398</v>
      </c>
      <c r="D47" s="129">
        <f ca="1">D45/$B$46</f>
        <v>0.83865691412843457</v>
      </c>
      <c r="E47" s="130">
        <f ca="1">E45/$B$46</f>
        <v>1.5937289108800659</v>
      </c>
      <c r="G47" s="301" t="s">
        <v>128</v>
      </c>
      <c r="H47" s="301"/>
      <c r="I47" s="301"/>
      <c r="J47" s="301"/>
      <c r="K47" s="301"/>
      <c r="L47" s="301"/>
      <c r="M47" s="301"/>
      <c r="N47" s="301"/>
    </row>
    <row r="48" spans="2:34" ht="56.25" customHeight="1" x14ac:dyDescent="0.25">
      <c r="B48" s="131">
        <f ca="1">'1.Current Heat'!B22</f>
        <v>12</v>
      </c>
      <c r="C48" s="132">
        <f t="shared" ref="C48:E48" ca="1" si="1">B48*1.06</f>
        <v>12.72</v>
      </c>
      <c r="D48" s="132">
        <f t="shared" ca="1" si="1"/>
        <v>13.483200000000002</v>
      </c>
      <c r="E48" s="133">
        <f t="shared" ca="1" si="1"/>
        <v>14.292192000000004</v>
      </c>
      <c r="G48" s="301" t="s">
        <v>194</v>
      </c>
      <c r="H48" s="301"/>
      <c r="I48" s="301"/>
      <c r="J48" s="301"/>
      <c r="K48" s="301"/>
      <c r="L48" s="301"/>
      <c r="M48" s="301"/>
      <c r="N48" s="301"/>
      <c r="O48" s="186">
        <f ca="1">(E48/B48)^(1/(E36-B36))-1</f>
        <v>5.006971033976404E-3</v>
      </c>
    </row>
    <row r="49" spans="1:14" ht="56.25" customHeight="1" x14ac:dyDescent="0.25">
      <c r="B49" s="134">
        <f ca="1">B47/B48</f>
        <v>9.4572092978875023E-3</v>
      </c>
      <c r="C49" s="135">
        <f ca="1">C47/C48</f>
        <v>3.8046267090853299E-2</v>
      </c>
      <c r="D49" s="135">
        <f ca="1">D47/D48</f>
        <v>6.2200138997302902E-2</v>
      </c>
      <c r="E49" s="136">
        <f ca="1">E47/E48</f>
        <v>0.11151046045841431</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122.05</v>
      </c>
      <c r="C54" s="147">
        <f>C32*($B$54-$B$29)+(1-C32)*$B$54</f>
        <v>114.61286386457959</v>
      </c>
      <c r="D54" s="147">
        <f>D32*($B$54-$B$29)+(1-D32)*$B$54</f>
        <v>109.84112047994248</v>
      </c>
      <c r="E54" s="148">
        <f>E32*($B$54-$B$29)+(1-E32)*$B$54</f>
        <v>109.73578241865454</v>
      </c>
      <c r="F54" s="1"/>
      <c r="G54" s="301" t="s">
        <v>109</v>
      </c>
      <c r="H54" s="301"/>
      <c r="I54" s="301"/>
      <c r="J54" s="301"/>
      <c r="K54" s="301"/>
      <c r="L54" s="301"/>
      <c r="M54" s="301"/>
      <c r="N54" s="301"/>
    </row>
    <row r="55" spans="1:14" ht="56.25" customHeight="1" x14ac:dyDescent="0.25">
      <c r="B55" s="149">
        <f>('LEAP Region'!H4+'LEAP Region'!H9+'LEAP Region'!H12)*1000</f>
        <v>31827.038759689924</v>
      </c>
      <c r="C55" s="150">
        <f>('LEAP Region'!I4+'LEAP Region'!I9+'LEAP Region'!I12)*1000</f>
        <v>23104.201550387599</v>
      </c>
      <c r="D55" s="150">
        <f>('LEAP Region'!J4+'LEAP Region'!J9+'LEAP Region'!J12)*1000</f>
        <v>14694.759689922481</v>
      </c>
      <c r="E55" s="151">
        <f>('LEAP Region'!K4+'LEAP Region'!K9+'LEAP Region'!K12)*1000</f>
        <v>2211.1782945736436</v>
      </c>
      <c r="G55" s="301" t="s">
        <v>110</v>
      </c>
      <c r="H55" s="301"/>
      <c r="I55" s="301"/>
      <c r="J55" s="301"/>
      <c r="K55" s="301"/>
      <c r="L55" s="301"/>
      <c r="M55" s="301"/>
      <c r="N55" s="301"/>
    </row>
    <row r="56" spans="1:14" ht="56.25" customHeight="1" x14ac:dyDescent="0.25">
      <c r="B56" s="152">
        <f>'LEAP Region'!H4*1000/'2.Heat Targets'!B55</f>
        <v>7.658643326039387E-3</v>
      </c>
      <c r="C56" s="153">
        <f>'LEAP Region'!I4*1000/'2.Heat Targets'!C55</f>
        <v>3.7678975131876409E-2</v>
      </c>
      <c r="D56" s="153">
        <f>'LEAP Region'!J4*1000/'2.Heat Targets'!D55</f>
        <v>9.7156398104265393E-2</v>
      </c>
      <c r="E56" s="154">
        <f>'LEAP Region'!K4*1000/'2.Heat Targets'!E55</f>
        <v>1</v>
      </c>
      <c r="G56" s="301" t="s">
        <v>137</v>
      </c>
      <c r="H56" s="301"/>
      <c r="I56" s="301"/>
      <c r="J56" s="301"/>
      <c r="K56" s="301"/>
      <c r="L56" s="301"/>
      <c r="M56" s="301"/>
      <c r="N56" s="301"/>
    </row>
    <row r="57" spans="1:14" ht="56.25" customHeight="1" x14ac:dyDescent="0.25">
      <c r="B57" s="128">
        <f>B55/B54</f>
        <v>260.77049372953644</v>
      </c>
      <c r="C57" s="129">
        <f>C55/C54</f>
        <v>201.58471546166305</v>
      </c>
      <c r="D57" s="129">
        <f>D55/D54</f>
        <v>133.78195365920195</v>
      </c>
      <c r="E57" s="130">
        <f>E55/E54</f>
        <v>20.150020766587748</v>
      </c>
      <c r="G57" s="301" t="s">
        <v>111</v>
      </c>
      <c r="H57" s="301"/>
      <c r="I57" s="301"/>
      <c r="J57" s="301"/>
      <c r="K57" s="301"/>
      <c r="L57" s="301"/>
      <c r="M57" s="301"/>
      <c r="N57" s="301"/>
    </row>
    <row r="58" spans="1:14" ht="56.25" customHeight="1" x14ac:dyDescent="0.25">
      <c r="B58" s="134">
        <f>B57/B31</f>
        <v>0.63140555382454344</v>
      </c>
      <c r="C58" s="135">
        <f>C57/C31</f>
        <v>0.46047036288012938</v>
      </c>
      <c r="D58" s="135">
        <f>D57/D31</f>
        <v>0.28829409805045941</v>
      </c>
      <c r="E58" s="136">
        <f>E57/E31</f>
        <v>4.0964518133482793E-2</v>
      </c>
      <c r="G58" s="301" t="s">
        <v>130</v>
      </c>
      <c r="H58" s="301"/>
      <c r="I58" s="301"/>
      <c r="J58" s="301"/>
      <c r="K58" s="301"/>
      <c r="L58" s="301"/>
      <c r="M58" s="301"/>
      <c r="N58" s="301"/>
    </row>
    <row r="59" spans="1:14" ht="56.25" customHeight="1" x14ac:dyDescent="0.25">
      <c r="B59" s="149">
        <f>('LEAP Region'!H5+'LEAP Region'!H13)*1000</f>
        <v>37868.604651162801</v>
      </c>
      <c r="C59" s="150">
        <f>('LEAP Region'!I5+'LEAP Region'!I13)*1000</f>
        <v>31739.984496124031</v>
      </c>
      <c r="D59" s="150">
        <f>('LEAP Region'!J5+'LEAP Region'!J13)*1000</f>
        <v>25158.682170542634</v>
      </c>
      <c r="E59" s="151">
        <f>('LEAP Region'!K5+'LEAP Region'!K13)*1000</f>
        <v>18211.7519379845</v>
      </c>
      <c r="G59" s="301" t="s">
        <v>112</v>
      </c>
      <c r="H59" s="301"/>
      <c r="I59" s="301"/>
      <c r="J59" s="301"/>
      <c r="K59" s="301"/>
      <c r="L59" s="301"/>
      <c r="M59" s="301"/>
      <c r="N59" s="301"/>
    </row>
    <row r="60" spans="1:14" ht="56.25" customHeight="1" x14ac:dyDescent="0.25">
      <c r="A60" s="2"/>
      <c r="B60" s="128">
        <f>B59/B54</f>
        <v>310.27123843640152</v>
      </c>
      <c r="C60" s="129">
        <f>C59/C54</f>
        <v>276.93212983165915</v>
      </c>
      <c r="D60" s="129">
        <f>D59/D54</f>
        <v>229.04611734306491</v>
      </c>
      <c r="E60" s="130">
        <f>E59/E54</f>
        <v>165.96001355788022</v>
      </c>
      <c r="G60" s="301" t="s">
        <v>140</v>
      </c>
      <c r="H60" s="301"/>
      <c r="I60" s="301"/>
      <c r="J60" s="301"/>
      <c r="K60" s="301"/>
      <c r="L60" s="301"/>
      <c r="M60" s="301"/>
      <c r="N60" s="301"/>
    </row>
    <row r="61" spans="1:14" ht="56.25" customHeight="1" x14ac:dyDescent="0.25">
      <c r="B61" s="134">
        <f>B60/B31</f>
        <v>0.75126207853850246</v>
      </c>
      <c r="C61" s="135">
        <f>C60/C31</f>
        <v>0.63258287229124022</v>
      </c>
      <c r="D61" s="135">
        <f>D60/D31</f>
        <v>0.49358408967169876</v>
      </c>
      <c r="E61" s="136">
        <f>E60/E31</f>
        <v>0.33739280289466933</v>
      </c>
      <c r="G61" s="301" t="s">
        <v>131</v>
      </c>
      <c r="H61" s="301"/>
      <c r="I61" s="301"/>
      <c r="J61" s="301"/>
      <c r="K61" s="301"/>
      <c r="L61" s="301"/>
      <c r="M61" s="301"/>
      <c r="N61" s="301"/>
    </row>
    <row r="62" spans="1:14" ht="56.25" customHeight="1" x14ac:dyDescent="0.25">
      <c r="B62" s="149">
        <f>('LEAP Region'!H7+'LEAP Region'!H8)*1000</f>
        <v>679.02325581395348</v>
      </c>
      <c r="C62" s="150">
        <f>('LEAP Region'!I7+'LEAP Region'!I8)*1000</f>
        <v>2716.0930232558139</v>
      </c>
      <c r="D62" s="150">
        <f>('LEAP Region'!J7+'LEAP Region'!J8)*1000</f>
        <v>5484.4186046511632</v>
      </c>
      <c r="E62" s="151">
        <f>('LEAP Region'!K7+'LEAP Region'!K8)*1000</f>
        <v>6894.6976744186049</v>
      </c>
      <c r="G62" s="301" t="s">
        <v>113</v>
      </c>
      <c r="H62" s="301"/>
      <c r="I62" s="301"/>
      <c r="J62" s="301"/>
      <c r="K62" s="301"/>
      <c r="L62" s="301"/>
      <c r="M62" s="301"/>
      <c r="N62" s="301"/>
    </row>
    <row r="63" spans="1:14" ht="56.25" customHeight="1" x14ac:dyDescent="0.25">
      <c r="B63" s="128">
        <f>B62/((0.7*B54)/2.4)</f>
        <v>19.074803229981722</v>
      </c>
      <c r="C63" s="129">
        <f>C62/((0.75*C54)/2.6)</f>
        <v>82.152987280834481</v>
      </c>
      <c r="D63" s="129">
        <f>D62/((0.8*D54)/2.8)</f>
        <v>174.75663970292669</v>
      </c>
      <c r="E63" s="130">
        <f>E62/((0.85*E54)/3)</f>
        <v>221.75289180830239</v>
      </c>
      <c r="F63" s="91"/>
      <c r="G63" s="301" t="s">
        <v>180</v>
      </c>
      <c r="H63" s="301"/>
      <c r="I63" s="301"/>
      <c r="J63" s="301"/>
      <c r="K63" s="301"/>
      <c r="L63" s="301"/>
      <c r="M63" s="301"/>
      <c r="N63" s="301"/>
    </row>
    <row r="64" spans="1:14" ht="56.25" customHeight="1" x14ac:dyDescent="0.25">
      <c r="B64" s="134">
        <f>B63/B31</f>
        <v>4.618596423724388E-2</v>
      </c>
      <c r="C64" s="135">
        <f>C63/C31</f>
        <v>0.18765815542243702</v>
      </c>
      <c r="D64" s="135">
        <f>D63/D31</f>
        <v>0.37659270509553489</v>
      </c>
      <c r="E64" s="136">
        <f>E63/E31</f>
        <v>0.45081841169594772</v>
      </c>
      <c r="G64" s="301" t="s">
        <v>114</v>
      </c>
      <c r="H64" s="301"/>
      <c r="I64" s="301"/>
      <c r="J64" s="301"/>
      <c r="K64" s="301"/>
      <c r="L64" s="301"/>
      <c r="M64" s="301"/>
      <c r="N64" s="301"/>
    </row>
    <row r="65" spans="1:20" ht="56.25" customHeight="1" x14ac:dyDescent="0.25">
      <c r="B65" s="149">
        <f>('LEAP Region'!H10+'LEAP Region'!H11)*1000</f>
        <v>12309.472868217055</v>
      </c>
      <c r="C65" s="150">
        <f>('LEAP Region'!I10+'LEAP Region'!I11)*1000</f>
        <v>9628.2015503875973</v>
      </c>
      <c r="D65" s="150">
        <f>('LEAP Region'!J10+'LEAP Region'!J11)*1000</f>
        <v>6163.4418604651164</v>
      </c>
      <c r="E65" s="151">
        <f>('LEAP Region'!K10+'LEAP Region'!K11)*1000</f>
        <v>2158.9457364341083</v>
      </c>
      <c r="G65" s="301" t="s">
        <v>115</v>
      </c>
      <c r="H65" s="301"/>
      <c r="I65" s="301"/>
      <c r="J65" s="301"/>
      <c r="K65" s="301"/>
      <c r="L65" s="301"/>
      <c r="M65" s="301"/>
      <c r="N65" s="301"/>
    </row>
    <row r="66" spans="1:20" ht="56.25" customHeight="1" x14ac:dyDescent="0.25">
      <c r="B66" s="128">
        <f>B65/B54</f>
        <v>100.85598417220038</v>
      </c>
      <c r="C66" s="129">
        <f>C65/C54</f>
        <v>84.006290618161003</v>
      </c>
      <c r="D66" s="129">
        <f>D65/D54</f>
        <v>56.112336013456733</v>
      </c>
      <c r="E66" s="130">
        <f>E65/E54</f>
        <v>19.674036024069924</v>
      </c>
      <c r="G66" s="301" t="s">
        <v>146</v>
      </c>
      <c r="H66" s="301"/>
      <c r="I66" s="301"/>
      <c r="J66" s="301"/>
      <c r="K66" s="301"/>
      <c r="L66" s="301"/>
      <c r="M66" s="301"/>
      <c r="N66" s="301"/>
    </row>
    <row r="67" spans="1:20" ht="56.25" customHeight="1" x14ac:dyDescent="0.25">
      <c r="A67" s="21"/>
      <c r="B67" s="134">
        <f>B66/B31</f>
        <v>0.24420335150653846</v>
      </c>
      <c r="C67" s="135">
        <f>C66/C31</f>
        <v>0.19189156795230708</v>
      </c>
      <c r="D67" s="135">
        <f>D66/D31</f>
        <v>0.12091956245244385</v>
      </c>
      <c r="E67" s="136">
        <f>E66/E31</f>
        <v>3.9996852350802088E-2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1087.1086881535182</v>
      </c>
      <c r="C72" s="156">
        <f ca="1">C49*($B$72-$B$46)+(1-C49)*$B$72</f>
        <v>1078.8366026522629</v>
      </c>
      <c r="D72" s="156">
        <f ca="1">D49*($B$72-$B$46)+(1-D49)*$B$72</f>
        <v>1073.5850258518533</v>
      </c>
      <c r="E72" s="157">
        <f ca="1">E49*($B$72-$B$46)+(1-E49)*$B$72</f>
        <v>1062.86389007665</v>
      </c>
      <c r="G72" s="302" t="s">
        <v>134</v>
      </c>
      <c r="H72" s="302"/>
      <c r="I72" s="302"/>
      <c r="J72" s="302"/>
      <c r="K72" s="302"/>
      <c r="L72" s="302"/>
      <c r="M72" s="302"/>
      <c r="N72" s="302"/>
    </row>
    <row r="73" spans="1:20" ht="56.25" customHeight="1" x14ac:dyDescent="0.25">
      <c r="B73" s="149">
        <f>('LEAP Region'!T4+'LEAP Region'!T5+'LEAP Region'!T9)*1000</f>
        <v>3766.9636737491433</v>
      </c>
      <c r="C73" s="150">
        <f>('LEAP Region'!U4+'LEAP Region'!U5+'LEAP Region'!U9)*1000</f>
        <v>3158.3276216586701</v>
      </c>
      <c r="D73" s="150">
        <f>('LEAP Region'!V4+'LEAP Region'!V5+'LEAP Region'!V9)*1000</f>
        <v>2450.993831391364</v>
      </c>
      <c r="E73" s="151">
        <f>('LEAP Region'!W4+'LEAP Region'!W5+'LEAP Region'!W9)*1000</f>
        <v>1357.0938999314599</v>
      </c>
      <c r="G73" s="301" t="s">
        <v>133</v>
      </c>
      <c r="H73" s="301"/>
      <c r="I73" s="301"/>
      <c r="J73" s="301"/>
      <c r="K73" s="301"/>
      <c r="L73" s="301"/>
      <c r="M73" s="301"/>
      <c r="N73" s="301"/>
    </row>
    <row r="74" spans="1:20" ht="56.25" customHeight="1" x14ac:dyDescent="0.25">
      <c r="B74" s="158">
        <f ca="1">com_share_state_target*'LEAP Statewide'!T4*1000/'2.Heat Targets'!B73</f>
        <v>8.2959004028919682E-3</v>
      </c>
      <c r="C74" s="145">
        <f ca="1">com_share_state_target*'LEAP Statewide'!U4*1000/'2.Heat Targets'!C73</f>
        <v>6.1865200637990288E-2</v>
      </c>
      <c r="D74" s="145">
        <f ca="1">com_share_state_target*'LEAP Statewide'!V4*1000/'2.Heat Targets'!D73</f>
        <v>0.14956580833719138</v>
      </c>
      <c r="E74" s="159">
        <f ca="1">com_share_state_target*'LEAP Statewide'!W4*1000/'2.Heat Targets'!E73</f>
        <v>0.48033385367172299</v>
      </c>
      <c r="G74" s="301" t="s">
        <v>136</v>
      </c>
      <c r="H74" s="301"/>
      <c r="I74" s="301"/>
      <c r="J74" s="301"/>
      <c r="K74" s="301"/>
      <c r="L74" s="301"/>
      <c r="M74" s="301"/>
      <c r="N74" s="301"/>
    </row>
    <row r="75" spans="1:20" ht="56.25" customHeight="1" x14ac:dyDescent="0.25">
      <c r="B75" s="128">
        <f ca="1">B73/B72</f>
        <v>3.4651214867461202</v>
      </c>
      <c r="C75" s="129">
        <f ca="1">C73/C72</f>
        <v>2.9275310217451729</v>
      </c>
      <c r="D75" s="129">
        <f ca="1">D73/D72</f>
        <v>2.2829992710140341</v>
      </c>
      <c r="E75" s="130">
        <f ca="1">E73/E72</f>
        <v>1.276827552993254</v>
      </c>
      <c r="G75" s="301" t="s">
        <v>135</v>
      </c>
      <c r="H75" s="301"/>
      <c r="I75" s="301"/>
      <c r="J75" s="301"/>
      <c r="K75" s="301"/>
      <c r="L75" s="301"/>
      <c r="M75" s="301"/>
      <c r="N75" s="301"/>
    </row>
    <row r="76" spans="1:20" ht="56.25" customHeight="1" x14ac:dyDescent="0.25">
      <c r="B76" s="134">
        <f ca="1">B75/B48</f>
        <v>0.28876012389551003</v>
      </c>
      <c r="C76" s="135">
        <f ca="1">C75/C48</f>
        <v>0.23015180988562678</v>
      </c>
      <c r="D76" s="135">
        <f ca="1">D75/D48</f>
        <v>0.16932176864646625</v>
      </c>
      <c r="E76" s="136">
        <f ca="1">E75/E48</f>
        <v>8.9337419550007E-2</v>
      </c>
      <c r="G76" s="301" t="s">
        <v>181</v>
      </c>
      <c r="H76" s="301"/>
      <c r="I76" s="301"/>
      <c r="J76" s="301"/>
      <c r="K76" s="301"/>
      <c r="L76" s="301"/>
      <c r="M76" s="301"/>
      <c r="N76" s="301"/>
    </row>
    <row r="77" spans="1:20" ht="56.25" customHeight="1" x14ac:dyDescent="0.25">
      <c r="B77" s="128">
        <f>'LEAP Region'!T10*1000</f>
        <v>1159.6984235777929</v>
      </c>
      <c r="C77" s="129">
        <f>'LEAP Region'!U10*1000</f>
        <v>1587.3886223440711</v>
      </c>
      <c r="D77" s="129">
        <f>'LEAP Region'!V10*1000</f>
        <v>2006.8540095956134</v>
      </c>
      <c r="E77" s="130">
        <f>'LEAP Region'!W10*1000</f>
        <v>2730.6374228923919</v>
      </c>
      <c r="G77" s="301" t="s">
        <v>138</v>
      </c>
      <c r="H77" s="301"/>
      <c r="I77" s="301"/>
      <c r="J77" s="301"/>
      <c r="K77" s="301"/>
      <c r="L77" s="301"/>
      <c r="M77" s="301"/>
      <c r="N77" s="301"/>
    </row>
    <row r="78" spans="1:20" ht="56.25" customHeight="1" x14ac:dyDescent="0.25">
      <c r="B78" s="128">
        <f ca="1">B77/B72</f>
        <v>1.0667732088017532</v>
      </c>
      <c r="C78" s="129">
        <f ca="1">C77/C72</f>
        <v>1.4713892895750478</v>
      </c>
      <c r="D78" s="129">
        <f ca="1">D77/D72</f>
        <v>1.8693014165349808</v>
      </c>
      <c r="E78" s="130">
        <f ca="1">E77/E72</f>
        <v>2.5691318035985473</v>
      </c>
      <c r="G78" s="301" t="s">
        <v>139</v>
      </c>
      <c r="H78" s="301"/>
      <c r="I78" s="301"/>
      <c r="J78" s="301"/>
      <c r="K78" s="301"/>
      <c r="L78" s="301"/>
      <c r="M78" s="301"/>
      <c r="N78" s="301"/>
    </row>
    <row r="79" spans="1:20" ht="56.25" customHeight="1" x14ac:dyDescent="0.25">
      <c r="B79" s="134">
        <f ca="1">B78/B48</f>
        <v>8.8897767400146099E-2</v>
      </c>
      <c r="C79" s="135">
        <f ca="1">C78/C48</f>
        <v>0.11567525861439054</v>
      </c>
      <c r="D79" s="135">
        <f ca="1">D78/D48</f>
        <v>0.13863930050247572</v>
      </c>
      <c r="E79" s="136">
        <f ca="1">E78/E48</f>
        <v>0.17975771691274137</v>
      </c>
      <c r="G79" s="301" t="s">
        <v>141</v>
      </c>
      <c r="H79" s="301"/>
      <c r="I79" s="301"/>
      <c r="J79" s="301"/>
      <c r="K79" s="301"/>
      <c r="L79" s="301"/>
      <c r="M79" s="301"/>
      <c r="N79" s="301"/>
    </row>
    <row r="80" spans="1:20" ht="56.25" customHeight="1" x14ac:dyDescent="0.25">
      <c r="B80" s="149">
        <f>B43</f>
        <v>31.007539410555175</v>
      </c>
      <c r="C80" s="150">
        <f>C43</f>
        <v>174.67671921407359</v>
      </c>
      <c r="D80" s="150">
        <f>D43</f>
        <v>318.34589901759199</v>
      </c>
      <c r="E80" s="151">
        <f>E43</f>
        <v>462.01507882111036</v>
      </c>
      <c r="G80" s="301" t="s">
        <v>142</v>
      </c>
      <c r="H80" s="301"/>
      <c r="I80" s="301"/>
      <c r="J80" s="301"/>
      <c r="K80" s="301"/>
      <c r="L80" s="301"/>
      <c r="M80" s="301"/>
      <c r="N80" s="301"/>
    </row>
    <row r="81" spans="2:14" ht="56.25" customHeight="1" x14ac:dyDescent="0.25">
      <c r="B81" s="128">
        <f ca="1">B80/((0.7*B72)/2.4)</f>
        <v>9.779294825975951E-2</v>
      </c>
      <c r="C81" s="129">
        <f ca="1">C80/((0.75*C72)/2.6)</f>
        <v>0.56129534208741061</v>
      </c>
      <c r="D81" s="129">
        <f ca="1">D80/((0.8*D72)/2.8)</f>
        <v>1.0378410835951102</v>
      </c>
      <c r="E81" s="130">
        <f ca="1">E80/((0.85*E72)/3)</f>
        <v>1.5341959303416983</v>
      </c>
      <c r="G81" s="301" t="s">
        <v>143</v>
      </c>
      <c r="H81" s="301"/>
      <c r="I81" s="301"/>
      <c r="J81" s="301"/>
      <c r="K81" s="301"/>
      <c r="L81" s="301"/>
      <c r="M81" s="301"/>
      <c r="N81" s="301"/>
    </row>
    <row r="82" spans="2:14" ht="56.25" customHeight="1" x14ac:dyDescent="0.25">
      <c r="B82" s="134">
        <f ca="1">B81/B48</f>
        <v>8.1494123549799586E-3</v>
      </c>
      <c r="C82" s="135">
        <f ca="1">C81/C48</f>
        <v>4.4126992302469387E-2</v>
      </c>
      <c r="D82" s="135">
        <f ca="1">D81/D48</f>
        <v>7.6972905808347425E-2</v>
      </c>
      <c r="E82" s="136">
        <f ca="1">E81/E48</f>
        <v>0.10734504058871432</v>
      </c>
      <c r="G82" s="301" t="s">
        <v>144</v>
      </c>
      <c r="H82" s="301"/>
      <c r="I82" s="301"/>
      <c r="J82" s="301"/>
      <c r="K82" s="301"/>
      <c r="L82" s="301"/>
      <c r="M82" s="301"/>
      <c r="N82" s="301"/>
    </row>
    <row r="83" spans="2:14" ht="56.25" customHeight="1" x14ac:dyDescent="0.25">
      <c r="B83" s="149">
        <f>('LEAP Region'!T7+'LEAP Region'!T8)*1000</f>
        <v>2459.2186429060998</v>
      </c>
      <c r="C83" s="150">
        <f>('LEAP Region'!U7+'LEAP Region'!U8)*1000</f>
        <v>2122.0013708019192</v>
      </c>
      <c r="D83" s="150">
        <f>('LEAP Region'!V7+'LEAP Region'!V8)*1000</f>
        <v>1718.9856065798492</v>
      </c>
      <c r="E83" s="151">
        <f>('LEAP Region'!W7+'LEAP Region'!W8)*1000</f>
        <v>1093.8999314599041</v>
      </c>
      <c r="G83" s="301" t="s">
        <v>145</v>
      </c>
      <c r="H83" s="301"/>
      <c r="I83" s="301"/>
      <c r="J83" s="301"/>
      <c r="K83" s="301"/>
      <c r="L83" s="301"/>
      <c r="M83" s="301"/>
      <c r="N83" s="301"/>
    </row>
    <row r="84" spans="2:14" ht="56.25" customHeight="1" x14ac:dyDescent="0.25">
      <c r="B84" s="128">
        <f ca="1">B83/B72</f>
        <v>2.2621644640547811</v>
      </c>
      <c r="C84" s="129">
        <f ca="1">C83/C72</f>
        <v>1.9669349052350382</v>
      </c>
      <c r="D84" s="129">
        <f ca="1">D83/D72</f>
        <v>1.6011639182615205</v>
      </c>
      <c r="E84" s="130">
        <f ca="1">E83/E72</f>
        <v>1.0292003912006229</v>
      </c>
      <c r="G84" s="301" t="s">
        <v>147</v>
      </c>
      <c r="H84" s="301"/>
      <c r="I84" s="301"/>
      <c r="J84" s="301"/>
      <c r="K84" s="301"/>
      <c r="L84" s="301"/>
      <c r="M84" s="301"/>
      <c r="N84" s="301"/>
    </row>
    <row r="85" spans="2:14" ht="56.25" customHeight="1" x14ac:dyDescent="0.25">
      <c r="B85" s="134">
        <f ca="1">B84/B48</f>
        <v>0.18851370533789844</v>
      </c>
      <c r="C85" s="135">
        <f ca="1">C84/C48</f>
        <v>0.1546332472669055</v>
      </c>
      <c r="D85" s="135">
        <f ca="1">D84/D48</f>
        <v>0.11875251559433371</v>
      </c>
      <c r="E85" s="136">
        <f ca="1">E84/E48</f>
        <v>7.2011374546369286E-2</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1" zoomScale="70" zoomScaleNormal="70" workbookViewId="0">
      <selection activeCell="C21" sqref="C21"/>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52.232558139534881</v>
      </c>
      <c r="C18" s="129">
        <f>'LEAP Region'!I26*1000</f>
        <v>1427.68992248062</v>
      </c>
      <c r="D18" s="129">
        <f>'LEAP Region'!J26*1000</f>
        <v>4143.7829457364342</v>
      </c>
      <c r="E18" s="130">
        <f>'LEAP Region'!K26*1000</f>
        <v>8026.4031007751946</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3.674036914855912</v>
      </c>
      <c r="C20" s="129">
        <f>IF($F$22="adj",'1.Current Trans'!$O$13*C18/C19,C18/C19)</f>
        <v>109.55310073388537</v>
      </c>
      <c r="D20" s="129">
        <f>IF($F$22="adj",'1.Current Trans'!$O$13*D18/D19,D18/D19)</f>
        <v>349.7683142942829</v>
      </c>
      <c r="E20" s="130">
        <f>IF($F$22="adj",'1.Current Trans'!$O$13*E18/E19,E18/E19)</f>
        <v>752.76934122158934</v>
      </c>
      <c r="G20" s="301" t="s">
        <v>106</v>
      </c>
      <c r="H20" s="301"/>
      <c r="I20" s="301"/>
      <c r="J20" s="301"/>
      <c r="K20" s="301"/>
      <c r="L20" s="301"/>
      <c r="M20" s="301"/>
      <c r="N20" s="301"/>
    </row>
    <row r="21" spans="2:22" ht="54.75" customHeight="1" x14ac:dyDescent="0.25">
      <c r="B21" s="131">
        <f>'1.Current Trans'!B9+'1.Current Trans'!B32</f>
        <v>814</v>
      </c>
      <c r="C21" s="132">
        <f t="shared" ref="C21:E21" si="0">B21*1.125</f>
        <v>915.75</v>
      </c>
      <c r="D21" s="132">
        <f t="shared" si="0"/>
        <v>1030.21875</v>
      </c>
      <c r="E21" s="133">
        <f t="shared" si="0"/>
        <v>1158.99609375</v>
      </c>
      <c r="G21" s="301" t="s">
        <v>189</v>
      </c>
      <c r="H21" s="301"/>
      <c r="I21" s="301"/>
      <c r="J21" s="301"/>
      <c r="K21" s="301"/>
      <c r="L21" s="301"/>
      <c r="M21" s="301"/>
      <c r="N21" s="301"/>
      <c r="O21" s="186">
        <f>(E21/B21)^(1/(E17-B17))-1</f>
        <v>1.014682216717655E-2</v>
      </c>
    </row>
    <row r="22" spans="2:22" ht="54.75" customHeight="1" x14ac:dyDescent="0.25">
      <c r="B22" s="134">
        <f>B20/B21</f>
        <v>4.5135588634593517E-3</v>
      </c>
      <c r="C22" s="135">
        <f>C20/C21</f>
        <v>0.11963210563350846</v>
      </c>
      <c r="D22" s="135">
        <f>D20/D21</f>
        <v>0.33950878325043388</v>
      </c>
      <c r="E22" s="136">
        <f>E20/E21</f>
        <v>0.64950118924556499</v>
      </c>
      <c r="F22" s="54" t="s">
        <v>545</v>
      </c>
      <c r="G22" s="301" t="s">
        <v>191</v>
      </c>
      <c r="H22" s="301"/>
      <c r="I22" s="301"/>
      <c r="J22" s="301"/>
      <c r="K22" s="301"/>
      <c r="L22" s="301"/>
      <c r="M22" s="301"/>
      <c r="N22" s="301"/>
    </row>
    <row r="23" spans="2:22" ht="54.75" customHeight="1" x14ac:dyDescent="0.25">
      <c r="B23" s="166">
        <f>('LEAP Region'!H24+'LEAP Region'!H25+'LEAP Region'!H27+'LEAP Region'!H28)*1000</f>
        <v>59527.705426356595</v>
      </c>
      <c r="C23" s="167">
        <f>('LEAP Region'!I24+'LEAP Region'!I25+'LEAP Region'!I27+'LEAP Region'!I28)*1000</f>
        <v>42708.821705426359</v>
      </c>
      <c r="D23" s="167">
        <f>('LEAP Region'!J24+'LEAP Region'!J25+'LEAP Region'!J27+'LEAP Region'!J28)*1000</f>
        <v>24392.60465116279</v>
      </c>
      <c r="E23" s="168">
        <f>('LEAP Region'!K24+'LEAP Region'!K25+'LEAP Region'!K27+'LEAP Region'!K28)*1000</f>
        <v>3395.1162790697676</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301" t="s">
        <v>192</v>
      </c>
      <c r="H24" s="301"/>
      <c r="I24" s="301"/>
      <c r="J24" s="301"/>
      <c r="K24" s="301"/>
      <c r="L24" s="301"/>
      <c r="M24" s="301"/>
      <c r="N24" s="30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888.10315978317226</v>
      </c>
      <c r="C26" s="129">
        <f>IF($F$22="adj",'1.Current Trans'!$O$13*C23/C25,C23/C25)</f>
        <v>745.14174740301223</v>
      </c>
      <c r="D26" s="129">
        <f>IF($F$22="adj",'1.Current Trans'!$O$13*D23/D25,D23/D25)</f>
        <v>512.39771972184724</v>
      </c>
      <c r="E26" s="130">
        <f>IF($F$22="adj",'1.Current Trans'!$O$13*E23/E25,E23/E25)</f>
        <v>89.596787796511236</v>
      </c>
      <c r="G26" s="301" t="s">
        <v>107</v>
      </c>
      <c r="H26" s="301"/>
      <c r="I26" s="301"/>
      <c r="J26" s="301"/>
      <c r="K26" s="301"/>
      <c r="L26" s="301"/>
      <c r="M26" s="301"/>
      <c r="N26" s="301"/>
    </row>
    <row r="27" spans="2:22" ht="54.75" customHeight="1" x14ac:dyDescent="0.25">
      <c r="B27" s="134">
        <f>B26/B21</f>
        <v>1.0910358228294499</v>
      </c>
      <c r="C27" s="135">
        <f>C26/C21</f>
        <v>0.81369560185969125</v>
      </c>
      <c r="D27" s="135">
        <f>D26/D21</f>
        <v>0.49736788397789039</v>
      </c>
      <c r="E27" s="136">
        <f>E26/E21</f>
        <v>7.7305513176162285E-2</v>
      </c>
      <c r="G27" s="301" t="s">
        <v>108</v>
      </c>
      <c r="H27" s="301"/>
      <c r="I27" s="301"/>
      <c r="J27" s="301"/>
      <c r="K27" s="301"/>
      <c r="L27" s="301"/>
      <c r="M27" s="301"/>
      <c r="N27" s="301"/>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J15" sqref="J15"/>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208930.23255813954</v>
      </c>
      <c r="C5" s="172">
        <f>'LEAP Region'!C49*1000000</f>
        <v>975007.75193798449</v>
      </c>
      <c r="D5" s="172">
        <f>'LEAP Region'!D49*1000000</f>
        <v>1532155.03875969</v>
      </c>
      <c r="E5" s="173">
        <f>'LEAP Region'!E49*1000000</f>
        <v>2246000</v>
      </c>
      <c r="G5" s="301" t="s">
        <v>186</v>
      </c>
      <c r="H5" s="301"/>
      <c r="I5" s="301"/>
      <c r="J5" s="301"/>
      <c r="K5" s="301"/>
      <c r="L5" s="301"/>
      <c r="M5" s="301"/>
      <c r="N5" s="301"/>
    </row>
    <row r="6" spans="2:14" s="126" customFormat="1" ht="45" customHeight="1" x14ac:dyDescent="0.2">
      <c r="B6" s="303">
        <v>400</v>
      </c>
      <c r="C6" s="304"/>
      <c r="D6" s="304"/>
      <c r="E6" s="305"/>
      <c r="G6" s="301" t="s">
        <v>475</v>
      </c>
      <c r="H6" s="301"/>
      <c r="I6" s="301"/>
      <c r="J6" s="301"/>
      <c r="K6" s="301"/>
      <c r="L6" s="301"/>
      <c r="M6" s="301"/>
      <c r="N6" s="301"/>
    </row>
    <row r="7" spans="2:14" s="126" customFormat="1" ht="45" customHeight="1" x14ac:dyDescent="0.2">
      <c r="B7" s="171">
        <f>B5/13/$B$6</f>
        <v>40.178890876565298</v>
      </c>
      <c r="C7" s="172">
        <f>C5/13/$B$6</f>
        <v>187.50149075730471</v>
      </c>
      <c r="D7" s="172">
        <f>D5/13/$B$6</f>
        <v>294.64519976147881</v>
      </c>
      <c r="E7" s="172">
        <f>E5/13/$B$6</f>
        <v>431.92307692307696</v>
      </c>
      <c r="G7" s="301" t="s">
        <v>185</v>
      </c>
      <c r="H7" s="301"/>
      <c r="I7" s="301"/>
      <c r="J7" s="301"/>
      <c r="K7" s="301"/>
      <c r="L7" s="301"/>
      <c r="M7" s="301"/>
      <c r="N7" s="301"/>
    </row>
    <row r="8" spans="2:14" s="126" customFormat="1" ht="45" customHeight="1" x14ac:dyDescent="0.2">
      <c r="B8" s="36">
        <f>'2.Heat Targets'!B31*1.5</f>
        <v>619.5</v>
      </c>
      <c r="C8" s="36">
        <f>'2.Heat Targets'!C31*1.5</f>
        <v>656.67000000000007</v>
      </c>
      <c r="D8" s="36">
        <f>'2.Heat Targets'!D31*1.5</f>
        <v>696.07020000000011</v>
      </c>
      <c r="E8" s="36">
        <f>'2.Heat Targets'!E31*1.5</f>
        <v>737.83441200000016</v>
      </c>
      <c r="G8" s="301" t="s">
        <v>187</v>
      </c>
      <c r="H8" s="301"/>
      <c r="I8" s="301"/>
      <c r="J8" s="301"/>
      <c r="K8" s="301"/>
      <c r="L8" s="301"/>
      <c r="M8" s="301"/>
      <c r="N8" s="301"/>
    </row>
    <row r="9" spans="2:14" s="126" customFormat="1" ht="45" customHeight="1" x14ac:dyDescent="0.2">
      <c r="B9" s="174">
        <f>B7/B8</f>
        <v>6.4856966709548505E-2</v>
      </c>
      <c r="C9" s="175">
        <f>C7/C8</f>
        <v>0.28553381570241476</v>
      </c>
      <c r="D9" s="175">
        <f>D7/D8</f>
        <v>0.42329810953188163</v>
      </c>
      <c r="E9" s="176">
        <f>E7/E8</f>
        <v>0.58539296879945046</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6"/>
      <c r="C17" s="306"/>
      <c r="D17" s="306"/>
      <c r="E17" s="306"/>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F53" zoomScale="70" zoomScaleNormal="70" workbookViewId="0">
      <selection activeCell="Q49" sqref="Q4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1.6E-2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224</v>
      </c>
      <c r="O19" s="224">
        <f>I4*$R$16*1000</f>
        <v>800</v>
      </c>
      <c r="P19" s="224">
        <f>J4*$R$16*1000</f>
        <v>1312</v>
      </c>
      <c r="Q19" s="224">
        <f>K4*$R$16*1000</f>
        <v>2032</v>
      </c>
    </row>
    <row r="20" spans="1:17" x14ac:dyDescent="0.25">
      <c r="B20" s="21"/>
      <c r="C20" s="21"/>
      <c r="D20" s="21"/>
      <c r="E20" s="21"/>
      <c r="H20" s="23"/>
      <c r="I20" s="23"/>
      <c r="J20" s="23"/>
      <c r="K20" s="23"/>
      <c r="L20" s="22"/>
      <c r="M20" s="222" t="s">
        <v>3</v>
      </c>
      <c r="N20" s="224">
        <f t="shared" ref="N20:N28" si="0">H5*$R$16*1000</f>
        <v>29744</v>
      </c>
      <c r="O20" s="224">
        <f t="shared" ref="O20:O28" si="1">I5*$R$16*1000</f>
        <v>23520</v>
      </c>
      <c r="P20" s="224">
        <f t="shared" ref="P20:P28" si="2">J5*$R$16*1000</f>
        <v>18048</v>
      </c>
      <c r="Q20" s="224">
        <f t="shared" ref="Q20:Q28" si="3">K5*$R$16*1000</f>
        <v>12000</v>
      </c>
    </row>
    <row r="21" spans="1:17" x14ac:dyDescent="0.25">
      <c r="L21" s="22"/>
      <c r="M21" s="222" t="s">
        <v>548</v>
      </c>
      <c r="N21" s="224">
        <f t="shared" si="0"/>
        <v>3312.0000000000005</v>
      </c>
      <c r="O21" s="224">
        <f t="shared" si="1"/>
        <v>2992</v>
      </c>
      <c r="P21" s="224">
        <f t="shared" si="2"/>
        <v>1632.0000000000002</v>
      </c>
      <c r="Q21" s="224">
        <f t="shared" si="3"/>
        <v>496</v>
      </c>
    </row>
    <row r="22" spans="1:17" ht="33.75" customHeight="1" x14ac:dyDescent="0.25">
      <c r="A22" s="231" t="s">
        <v>472</v>
      </c>
      <c r="B22" s="232"/>
      <c r="C22" s="232"/>
      <c r="D22" s="232"/>
      <c r="E22" s="233"/>
      <c r="G22" s="231" t="s">
        <v>473</v>
      </c>
      <c r="H22" s="232"/>
      <c r="I22" s="232"/>
      <c r="J22" s="232"/>
      <c r="K22" s="233"/>
      <c r="L22" s="22"/>
      <c r="M22" s="222" t="s">
        <v>5</v>
      </c>
      <c r="N22" s="224">
        <f t="shared" si="0"/>
        <v>368</v>
      </c>
      <c r="O22" s="224">
        <f t="shared" si="1"/>
        <v>1760</v>
      </c>
      <c r="P22" s="224">
        <f t="shared" si="2"/>
        <v>3600</v>
      </c>
      <c r="Q22" s="224">
        <f t="shared" si="3"/>
        <v>4320</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256</v>
      </c>
      <c r="O23" s="224">
        <f t="shared" si="1"/>
        <v>736</v>
      </c>
      <c r="P23" s="224">
        <f t="shared" si="2"/>
        <v>1440</v>
      </c>
      <c r="Q23" s="224">
        <f t="shared" si="3"/>
        <v>2016</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1920</v>
      </c>
      <c r="O24" s="224">
        <f t="shared" si="1"/>
        <v>2224</v>
      </c>
      <c r="P24" s="224">
        <f t="shared" si="2"/>
        <v>2576</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11312</v>
      </c>
      <c r="O25" s="224">
        <f t="shared" si="1"/>
        <v>8848</v>
      </c>
      <c r="P25" s="224">
        <f t="shared" si="2"/>
        <v>5664</v>
      </c>
      <c r="Q25" s="224">
        <f t="shared" si="3"/>
        <v>1984</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27104</v>
      </c>
      <c r="O27" s="224">
        <f t="shared" si="1"/>
        <v>18208.000000000004</v>
      </c>
      <c r="P27" s="224">
        <f t="shared" si="2"/>
        <v>9616</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5056</v>
      </c>
      <c r="O28" s="224">
        <f t="shared" si="1"/>
        <v>5648</v>
      </c>
      <c r="P28" s="224">
        <f t="shared" si="2"/>
        <v>5072</v>
      </c>
      <c r="Q28" s="224">
        <f t="shared" si="3"/>
        <v>4736</v>
      </c>
    </row>
    <row r="29" spans="1:17" x14ac:dyDescent="0.25">
      <c r="A29" s="6" t="s">
        <v>24</v>
      </c>
      <c r="B29" s="18">
        <v>0</v>
      </c>
      <c r="C29" s="18">
        <v>0</v>
      </c>
      <c r="D29" s="18">
        <v>0</v>
      </c>
      <c r="E29" s="19">
        <v>0</v>
      </c>
      <c r="G29" s="1" t="s">
        <v>24</v>
      </c>
      <c r="H29" s="4">
        <v>0</v>
      </c>
      <c r="I29" s="4">
        <v>0</v>
      </c>
      <c r="J29" s="4">
        <v>0</v>
      </c>
      <c r="K29" s="5">
        <v>0</v>
      </c>
      <c r="M29" s="222" t="s">
        <v>550</v>
      </c>
      <c r="N29" s="225">
        <f>(B14-H14)*$R$16*1000</f>
        <v>2096</v>
      </c>
      <c r="O29" s="225">
        <f t="shared" ref="O29:Q29" si="4">(C14-I14)*$R$16*1000</f>
        <v>3504</v>
      </c>
      <c r="P29" s="225">
        <f t="shared" si="4"/>
        <v>7424</v>
      </c>
      <c r="Q29" s="225">
        <f t="shared" si="4"/>
        <v>10896</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8.0000000000000002E-3</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64</v>
      </c>
      <c r="O51" s="223">
        <f t="shared" ref="O51:Q57" si="5">U4*$Q$48*1000</f>
        <v>392</v>
      </c>
      <c r="P51" s="223">
        <f t="shared" si="5"/>
        <v>736</v>
      </c>
      <c r="Q51" s="223">
        <f t="shared" si="5"/>
        <v>1312</v>
      </c>
    </row>
    <row r="52" spans="1:17" x14ac:dyDescent="0.25">
      <c r="M52" s="223" t="s">
        <v>14</v>
      </c>
      <c r="N52" s="223">
        <f t="shared" ref="N52:N57" si="6">T5*$Q$48*1000</f>
        <v>3264.0000000000005</v>
      </c>
      <c r="O52" s="223">
        <f t="shared" si="5"/>
        <v>2432</v>
      </c>
      <c r="P52" s="223">
        <f t="shared" si="5"/>
        <v>1496</v>
      </c>
      <c r="Q52" s="223">
        <f t="shared" si="5"/>
        <v>8</v>
      </c>
    </row>
    <row r="53" spans="1:17" x14ac:dyDescent="0.25">
      <c r="M53" s="223" t="s">
        <v>15</v>
      </c>
      <c r="N53" s="223">
        <f t="shared" si="6"/>
        <v>5952</v>
      </c>
      <c r="O53" s="223">
        <f t="shared" si="5"/>
        <v>5896</v>
      </c>
      <c r="P53" s="223">
        <f t="shared" si="5"/>
        <v>5712</v>
      </c>
      <c r="Q53" s="223">
        <f t="shared" si="5"/>
        <v>5536.0000000000009</v>
      </c>
    </row>
    <row r="54" spans="1:17" x14ac:dyDescent="0.25">
      <c r="M54" s="223" t="s">
        <v>8</v>
      </c>
      <c r="N54" s="223">
        <f t="shared" si="6"/>
        <v>2392</v>
      </c>
      <c r="O54" s="223">
        <f t="shared" si="5"/>
        <v>2064</v>
      </c>
      <c r="P54" s="223">
        <f t="shared" si="5"/>
        <v>1672</v>
      </c>
      <c r="Q54" s="223">
        <f t="shared" si="5"/>
        <v>1064</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336</v>
      </c>
      <c r="O56" s="223">
        <f t="shared" si="5"/>
        <v>248</v>
      </c>
      <c r="P56" s="223">
        <f t="shared" si="5"/>
        <v>152</v>
      </c>
      <c r="Q56" s="223">
        <f t="shared" si="5"/>
        <v>0</v>
      </c>
    </row>
    <row r="57" spans="1:17" x14ac:dyDescent="0.25">
      <c r="M57" s="223" t="s">
        <v>17</v>
      </c>
      <c r="N57" s="223">
        <f t="shared" si="6"/>
        <v>1128</v>
      </c>
      <c r="O57" s="223">
        <f t="shared" si="5"/>
        <v>1544</v>
      </c>
      <c r="P57" s="223">
        <f t="shared" si="5"/>
        <v>1952</v>
      </c>
      <c r="Q57" s="223">
        <f t="shared" si="5"/>
        <v>2656</v>
      </c>
    </row>
    <row r="58" spans="1:17" x14ac:dyDescent="0.25">
      <c r="M58" s="223" t="s">
        <v>550</v>
      </c>
      <c r="N58" s="223">
        <f>(N11-T11)*$Q$48*1000</f>
        <v>112</v>
      </c>
      <c r="O58" s="223">
        <f>(O11-U11)*$Q$48*1000</f>
        <v>696.00000000000011</v>
      </c>
      <c r="P58" s="223">
        <f t="shared" ref="P58:Q58" si="7">(P11-V11)*$Q$48*1000</f>
        <v>1320</v>
      </c>
      <c r="Q58" s="223">
        <f t="shared" si="7"/>
        <v>2344</v>
      </c>
    </row>
    <row r="60" spans="1:17" ht="15.75" thickBot="1" x14ac:dyDescent="0.3"/>
    <row r="61" spans="1:17" ht="15.75" thickBot="1" x14ac:dyDescent="0.3">
      <c r="N61" t="s">
        <v>572</v>
      </c>
      <c r="Q61" s="229">
        <v>1.7000000000000001E-2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49691</v>
      </c>
      <c r="O64" s="223">
        <f t="shared" ref="O64:Q68" si="8">I24*$Q$61*1000</f>
        <v>35598.000000000007</v>
      </c>
      <c r="P64" s="223">
        <f t="shared" si="8"/>
        <v>19822.000000000004</v>
      </c>
      <c r="Q64" s="223">
        <f t="shared" si="8"/>
        <v>1547.0000000000002</v>
      </c>
    </row>
    <row r="65" spans="13:17" x14ac:dyDescent="0.25">
      <c r="M65" s="223" t="s">
        <v>22</v>
      </c>
      <c r="N65" s="223">
        <f t="shared" ref="N65:N68" si="9">H25*$Q$61*1000</f>
        <v>6630.0000000000009</v>
      </c>
      <c r="O65" s="223">
        <f t="shared" si="8"/>
        <v>4420</v>
      </c>
      <c r="P65" s="223">
        <f t="shared" si="8"/>
        <v>2397.0000000000005</v>
      </c>
      <c r="Q65" s="223">
        <f t="shared" si="8"/>
        <v>272</v>
      </c>
    </row>
    <row r="66" spans="13:17" x14ac:dyDescent="0.25">
      <c r="M66" s="223" t="s">
        <v>23</v>
      </c>
      <c r="N66" s="223">
        <f t="shared" si="9"/>
        <v>51.000000000000007</v>
      </c>
      <c r="O66" s="223">
        <f t="shared" si="8"/>
        <v>1394.0000000000002</v>
      </c>
      <c r="P66" s="223">
        <f t="shared" si="8"/>
        <v>4046.0000000000005</v>
      </c>
      <c r="Q66" s="223">
        <f t="shared" si="8"/>
        <v>7837.0000000000009</v>
      </c>
    </row>
    <row r="67" spans="13:17" x14ac:dyDescent="0.25">
      <c r="M67" s="223" t="s">
        <v>20</v>
      </c>
      <c r="N67" s="223">
        <f t="shared" si="9"/>
        <v>1666.0000000000002</v>
      </c>
      <c r="O67" s="223">
        <f t="shared" si="8"/>
        <v>1037.0000000000002</v>
      </c>
      <c r="P67" s="223">
        <f t="shared" si="8"/>
        <v>561</v>
      </c>
      <c r="Q67" s="223">
        <f t="shared" si="8"/>
        <v>17</v>
      </c>
    </row>
    <row r="68" spans="13:17" x14ac:dyDescent="0.25">
      <c r="M68" s="223" t="s">
        <v>18</v>
      </c>
      <c r="N68" s="223">
        <f t="shared" si="9"/>
        <v>136</v>
      </c>
      <c r="O68" s="223">
        <f t="shared" si="8"/>
        <v>646</v>
      </c>
      <c r="P68" s="223">
        <f t="shared" si="8"/>
        <v>1037.0000000000002</v>
      </c>
      <c r="Q68" s="223">
        <f t="shared" si="8"/>
        <v>1479</v>
      </c>
    </row>
    <row r="69" spans="13:17" x14ac:dyDescent="0.25">
      <c r="M69" s="230" t="s">
        <v>550</v>
      </c>
      <c r="O69">
        <f t="shared" ref="O69:Q69" si="10">(C30-I30)*$Q$61*1000</f>
        <v>4488</v>
      </c>
      <c r="P69">
        <f t="shared" si="10"/>
        <v>12988.000000000002</v>
      </c>
      <c r="Q69">
        <f t="shared" si="10"/>
        <v>23494.000000000004</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2017-04-30T13:01:56Z</dcterms:modified>
</cp:coreProperties>
</file>