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East Haven\"/>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G22" i="201"/>
  <c r="D22" i="201"/>
  <c r="D21" i="201"/>
  <c r="G21" i="201" s="1"/>
  <c r="D20" i="201"/>
  <c r="D19" i="201"/>
  <c r="G19" i="201" s="1"/>
  <c r="D18" i="201"/>
  <c r="G18" i="201" s="1"/>
  <c r="G17" i="201"/>
  <c r="D17" i="201"/>
  <c r="D16" i="201"/>
  <c r="D15" i="201"/>
  <c r="G15" i="201" s="1"/>
  <c r="G14" i="201"/>
  <c r="D14" i="201"/>
  <c r="D13" i="201"/>
  <c r="G13" i="201" s="1"/>
  <c r="D12" i="201"/>
  <c r="D11" i="201"/>
  <c r="G11" i="201" s="1"/>
  <c r="D10" i="201"/>
  <c r="G9" i="201"/>
  <c r="D9" i="201"/>
  <c r="D8" i="201"/>
  <c r="E5" i="201"/>
  <c r="E4" i="201"/>
  <c r="D3" i="201"/>
  <c r="C3" i="201"/>
  <c r="B3" i="201"/>
  <c r="G10" i="201" l="1"/>
  <c r="E26" i="201"/>
  <c r="E3" i="201"/>
  <c r="E17" i="201" s="1"/>
  <c r="G8" i="201"/>
  <c r="E8" i="201"/>
  <c r="E54" i="201"/>
  <c r="H54" i="201" s="1"/>
  <c r="E52" i="201"/>
  <c r="H52" i="201" s="1"/>
  <c r="E46" i="201"/>
  <c r="E44" i="201"/>
  <c r="H44" i="201" s="1"/>
  <c r="E13" i="201"/>
  <c r="H13" i="201" s="1"/>
  <c r="G20" i="201"/>
  <c r="E20" i="201"/>
  <c r="E22" i="201"/>
  <c r="E24" i="201"/>
  <c r="H24" i="201" s="1"/>
  <c r="E32" i="201"/>
  <c r="E40" i="201"/>
  <c r="E9" i="201"/>
  <c r="H9" i="201" s="1"/>
  <c r="G16" i="201"/>
  <c r="H16" i="201" s="1"/>
  <c r="E16" i="201"/>
  <c r="E18" i="201"/>
  <c r="H18" i="201" s="1"/>
  <c r="H22" i="201"/>
  <c r="E30" i="201"/>
  <c r="E38" i="201"/>
  <c r="G12" i="201"/>
  <c r="E12" i="201"/>
  <c r="E14" i="201"/>
  <c r="H14" i="201" s="1"/>
  <c r="E21" i="201"/>
  <c r="E28" i="201"/>
  <c r="H28" i="201" s="1"/>
  <c r="E36" i="201"/>
  <c r="H36" i="201" s="1"/>
  <c r="H17" i="201"/>
  <c r="H21" i="201"/>
  <c r="H27" i="201"/>
  <c r="H29" i="201"/>
  <c r="H43" i="201"/>
  <c r="H45" i="201"/>
  <c r="E11" i="201"/>
  <c r="H11" i="201" s="1"/>
  <c r="E15" i="201"/>
  <c r="H15" i="201" s="1"/>
  <c r="E19" i="201"/>
  <c r="H19" i="201" s="1"/>
  <c r="E23" i="201"/>
  <c r="H23" i="201" s="1"/>
  <c r="E25" i="201"/>
  <c r="H25" i="201" s="1"/>
  <c r="E27" i="201"/>
  <c r="E29" i="201"/>
  <c r="E31" i="201"/>
  <c r="H31" i="201" s="1"/>
  <c r="E33" i="201"/>
  <c r="H33" i="201" s="1"/>
  <c r="E35" i="201"/>
  <c r="H35" i="201" s="1"/>
  <c r="E37" i="201"/>
  <c r="H37" i="201" s="1"/>
  <c r="E39" i="201"/>
  <c r="H39" i="201" s="1"/>
  <c r="E41" i="201"/>
  <c r="H41" i="201" s="1"/>
  <c r="E43" i="201"/>
  <c r="E45" i="201"/>
  <c r="E47" i="201"/>
  <c r="H47" i="201" s="1"/>
  <c r="E49" i="201"/>
  <c r="H49" i="201" s="1"/>
  <c r="E51" i="201"/>
  <c r="H51" i="201" s="1"/>
  <c r="E53" i="201"/>
  <c r="H53" i="201" s="1"/>
  <c r="E55" i="201"/>
  <c r="H55" i="201" s="1"/>
  <c r="E57" i="201"/>
  <c r="H57" i="201" s="1"/>
  <c r="H26" i="201"/>
  <c r="H30" i="201"/>
  <c r="H32" i="201"/>
  <c r="H38" i="201"/>
  <c r="H40" i="201"/>
  <c r="H46" i="201"/>
  <c r="E48" i="201" l="1"/>
  <c r="H48" i="201" s="1"/>
  <c r="E56" i="201"/>
  <c r="H56" i="201" s="1"/>
  <c r="H20" i="201"/>
  <c r="E42" i="201"/>
  <c r="H42" i="201" s="1"/>
  <c r="E50" i="201"/>
  <c r="H50" i="201" s="1"/>
  <c r="E34" i="201"/>
  <c r="H34" i="201" s="1"/>
  <c r="E10" i="201"/>
  <c r="H10" i="201" s="1"/>
  <c r="H12" i="201"/>
  <c r="H8" i="201"/>
  <c r="H58" i="201" l="1"/>
  <c r="Q20" i="198"/>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Q69" i="198" s="1"/>
  <c r="D30" i="198"/>
  <c r="P69" i="198" s="1"/>
  <c r="C30" i="198"/>
  <c r="O69" i="198" s="1"/>
  <c r="B30" i="198"/>
  <c r="K14" i="198"/>
  <c r="J14" i="198"/>
  <c r="I14" i="198"/>
  <c r="H14" i="198"/>
  <c r="E14" i="198"/>
  <c r="Q29" i="198" s="1"/>
  <c r="D14" i="198"/>
  <c r="P29" i="198" s="1"/>
  <c r="C14" i="198"/>
  <c r="B14" i="198"/>
  <c r="N29" i="198" s="1"/>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T96" i="197"/>
  <c r="AA124" i="197"/>
  <c r="W144" i="197"/>
  <c r="AA156" i="197"/>
  <c r="AB172" i="197"/>
  <c r="AE180" i="197"/>
  <c r="AD188" i="197"/>
  <c r="Y200" i="197"/>
  <c r="V212" i="197"/>
  <c r="AD220" i="197"/>
  <c r="Y232" i="197"/>
  <c r="X237" i="197"/>
  <c r="AB244" i="197"/>
  <c r="R12" i="197"/>
  <c r="R76"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AA145" i="197"/>
  <c r="X128" i="197"/>
  <c r="AB112" i="197"/>
  <c r="O29" i="198"/>
  <c r="R124" i="197"/>
  <c r="AC248" i="197"/>
  <c r="V244" i="197"/>
  <c r="AD236" i="197"/>
  <c r="AD228" i="197"/>
  <c r="V220" i="197"/>
  <c r="Y208" i="197"/>
  <c r="AD196" i="197"/>
  <c r="V188" i="197"/>
  <c r="T180" i="197"/>
  <c r="AB168" i="197"/>
  <c r="AB140" i="197"/>
  <c r="AE120" i="197"/>
  <c r="AA88"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Q58" i="198" s="1"/>
  <c r="N11" i="198"/>
  <c r="N58" i="198" s="1"/>
  <c r="W11" i="198"/>
  <c r="P11" i="198"/>
  <c r="P58" i="198" s="1"/>
  <c r="V11" i="198"/>
  <c r="O11" i="198"/>
  <c r="O58" i="198" s="1"/>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7" i="186"/>
  <c r="F35" i="186"/>
  <c r="F33" i="186"/>
  <c r="F29" i="186"/>
  <c r="F28" i="186"/>
  <c r="F27" i="186"/>
  <c r="E41" i="186"/>
  <c r="F38" i="186" s="1"/>
  <c r="F32" i="186" l="1"/>
  <c r="F39"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B83" i="188" s="1"/>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C83" i="188" s="1"/>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H4" i="194"/>
  <c r="E256" i="194" s="1"/>
  <c r="H3" i="194"/>
  <c r="E204" i="194" s="1"/>
  <c r="H12" i="194"/>
  <c r="E91" i="194" s="1"/>
  <c r="H2" i="194"/>
  <c r="E32" i="194" s="1"/>
  <c r="E213" i="194"/>
  <c r="E12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193" i="194" l="1"/>
  <c r="E237" i="194"/>
  <c r="E47" i="194"/>
  <c r="E74" i="194"/>
  <c r="E186" i="194"/>
  <c r="E173" i="194"/>
  <c r="E225" i="194"/>
  <c r="E31" i="194"/>
  <c r="E22" i="194"/>
  <c r="D73" i="188"/>
  <c r="E101" i="194"/>
  <c r="E209" i="194"/>
  <c r="E82" i="194"/>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<sst xmlns="http://schemas.openxmlformats.org/spreadsheetml/2006/main" count="1659" uniqueCount="573">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</sst>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238.00000000000003</c:v>
                </c:pt>
                <c:pt idx="1">
                  <c:v>850.00000000000011</c:v>
                </c:pt>
                <c:pt idx="2">
                  <c:v>1394.0000000000002</c:v>
                </c:pt>
                <c:pt idx="3">
                  <c:v>2159.0000000000005</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31603</c:v>
                </c:pt>
                <c:pt idx="1">
                  <c:v>24990.000000000004</c:v>
                </c:pt>
                <c:pt idx="2">
                  <c:v>19176.000000000004</c:v>
                </c:pt>
                <c:pt idx="3">
                  <c:v>12750.000000000002</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3519</c:v>
                </c:pt>
                <c:pt idx="1">
                  <c:v>3179.0000000000005</c:v>
                </c:pt>
                <c:pt idx="2">
                  <c:v>1734.0000000000002</c:v>
                </c:pt>
                <c:pt idx="3">
                  <c:v>527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391</c:v>
                </c:pt>
                <c:pt idx="1">
                  <c:v>1870</c:v>
                </c:pt>
                <c:pt idx="2">
                  <c:v>3825</c:v>
                </c:pt>
                <c:pt idx="3">
                  <c:v>4590.0000000000009</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272</c:v>
                </c:pt>
                <c:pt idx="1">
                  <c:v>782</c:v>
                </c:pt>
                <c:pt idx="2">
                  <c:v>1530</c:v>
                </c:pt>
                <c:pt idx="3">
                  <c:v>2142.0000000000005</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2040</c:v>
                </c:pt>
                <c:pt idx="1">
                  <c:v>2363</c:v>
                </c:pt>
                <c:pt idx="2">
                  <c:v>2737</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12019</c:v>
                </c:pt>
                <c:pt idx="1">
                  <c:v>9401</c:v>
                </c:pt>
                <c:pt idx="2">
                  <c:v>6018.0000000000009</c:v>
                </c:pt>
                <c:pt idx="3">
                  <c:v>2108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28798</c:v>
                </c:pt>
                <c:pt idx="1">
                  <c:v>19346</c:v>
                </c:pt>
                <c:pt idx="2">
                  <c:v>10217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5372.0000000000009</c:v>
                </c:pt>
                <c:pt idx="1">
                  <c:v>6001</c:v>
                </c:pt>
                <c:pt idx="2">
                  <c:v>5389</c:v>
                </c:pt>
                <c:pt idx="3">
                  <c:v>5032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2227.0000000000005</c:v>
                </c:pt>
                <c:pt idx="1">
                  <c:v>3723.0000000000005</c:v>
                </c:pt>
                <c:pt idx="2">
                  <c:v>7888.0000000000009</c:v>
                </c:pt>
                <c:pt idx="3">
                  <c:v>11577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222586432"/>
        <c:axId val="222585256"/>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22258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2585256"/>
        <c:crosses val="autoZero"/>
        <c:auto val="1"/>
        <c:lblAlgn val="ctr"/>
        <c:lblOffset val="100"/>
        <c:noMultiLvlLbl val="0"/>
      </c:catAx>
      <c:valAx>
        <c:axId val="222585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2586432"/>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152</c:v>
                </c:pt>
                <c:pt idx="1">
                  <c:v>930.99999999999989</c:v>
                </c:pt>
                <c:pt idx="2">
                  <c:v>1748</c:v>
                </c:pt>
                <c:pt idx="3">
                  <c:v>3116</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7752</c:v>
                </c:pt>
                <c:pt idx="1">
                  <c:v>5776</c:v>
                </c:pt>
                <c:pt idx="2">
                  <c:v>3553</c:v>
                </c:pt>
                <c:pt idx="3">
                  <c:v>19</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14136</c:v>
                </c:pt>
                <c:pt idx="1">
                  <c:v>14003</c:v>
                </c:pt>
                <c:pt idx="2">
                  <c:v>13565.999999999998</c:v>
                </c:pt>
                <c:pt idx="3">
                  <c:v>13148</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5681</c:v>
                </c:pt>
                <c:pt idx="1">
                  <c:v>4902</c:v>
                </c:pt>
                <c:pt idx="2">
                  <c:v>3971</c:v>
                </c:pt>
                <c:pt idx="3">
                  <c:v>2527</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797.99999999999989</c:v>
                </c:pt>
                <c:pt idx="1">
                  <c:v>589</c:v>
                </c:pt>
                <c:pt idx="2">
                  <c:v>361</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2679</c:v>
                </c:pt>
                <c:pt idx="1">
                  <c:v>3667</c:v>
                </c:pt>
                <c:pt idx="2">
                  <c:v>4636</c:v>
                </c:pt>
                <c:pt idx="3">
                  <c:v>6308</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266</c:v>
                </c:pt>
                <c:pt idx="1">
                  <c:v>1653</c:v>
                </c:pt>
                <c:pt idx="2">
                  <c:v>3135</c:v>
                </c:pt>
                <c:pt idx="3">
                  <c:v>5567</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446702704"/>
        <c:axId val="446701920"/>
      </c:barChart>
      <c:catAx>
        <c:axId val="44670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6701920"/>
        <c:crosses val="autoZero"/>
        <c:auto val="1"/>
        <c:lblAlgn val="ctr"/>
        <c:lblOffset val="100"/>
        <c:noMultiLvlLbl val="0"/>
      </c:catAx>
      <c:valAx>
        <c:axId val="44670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6702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55537</c:v>
                </c:pt>
                <c:pt idx="1">
                  <c:v>39786</c:v>
                </c:pt>
                <c:pt idx="2">
                  <c:v>22154</c:v>
                </c:pt>
                <c:pt idx="3">
                  <c:v>1728.9999999999998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7410</c:v>
                </c:pt>
                <c:pt idx="1">
                  <c:v>4939.9999999999991</c:v>
                </c:pt>
                <c:pt idx="2">
                  <c:v>2679</c:v>
                </c:pt>
                <c:pt idx="3">
                  <c:v>304</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56.999999999999993</c:v>
                </c:pt>
                <c:pt idx="1">
                  <c:v>1558</c:v>
                </c:pt>
                <c:pt idx="2">
                  <c:v>4522</c:v>
                </c:pt>
                <c:pt idx="3">
                  <c:v>8759</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1861.9999999999998</c:v>
                </c:pt>
                <c:pt idx="1">
                  <c:v>1159</c:v>
                </c:pt>
                <c:pt idx="2">
                  <c:v>627</c:v>
                </c:pt>
                <c:pt idx="3">
                  <c:v>19</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152</c:v>
                </c:pt>
                <c:pt idx="1">
                  <c:v>722</c:v>
                </c:pt>
                <c:pt idx="2">
                  <c:v>1159</c:v>
                </c:pt>
                <c:pt idx="3">
                  <c:v>1653</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5016</c:v>
                </c:pt>
                <c:pt idx="2">
                  <c:v>14516</c:v>
                </c:pt>
                <c:pt idx="3">
                  <c:v>26258</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453018896"/>
        <c:axId val="453019288"/>
      </c:barChart>
      <c:catAx>
        <c:axId val="45301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3019288"/>
        <c:crosses val="autoZero"/>
        <c:auto val="1"/>
        <c:lblAlgn val="ctr"/>
        <c:lblOffset val="100"/>
        <c:noMultiLvlLbl val="0"/>
      </c:catAx>
      <c:valAx>
        <c:axId val="453019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3018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4.6407964774138756E-2</v>
      </c>
      <c r="I4" s="4">
        <f>res_share_state_target*'LEAP Statewide'!I4</f>
        <v>0.28060629863432734</v>
      </c>
      <c r="J4" s="4">
        <f>res_share_state_target*'LEAP Statewide'!J4</f>
        <v>0.52937457492360607</v>
      </c>
      <c r="K4" s="5">
        <f>res_share_state_target*'LEAP Statewide'!K4</f>
        <v>0.97456726025691387</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5.9213242591026911E-3</v>
      </c>
      <c r="U4" s="4">
        <f ca="1">com_share_state_target*'LEAP Statewide'!U4</f>
        <v>3.7022648765651776E-2</v>
      </c>
      <c r="V4" s="4">
        <f ca="1">com_share_state_target*'LEAP Statewide'!V4</f>
        <v>6.9460582874376953E-2</v>
      </c>
      <c r="W4" s="5">
        <f ca="1">com_share_state_target*'LEAP Statewide'!W4</f>
        <v>0.12351422495807894</v>
      </c>
      <c r="Y4" s="23"/>
    </row>
    <row r="5" spans="1:25" x14ac:dyDescent="0.25">
      <c r="A5" s="1" t="s">
        <v>3</v>
      </c>
      <c r="B5" s="4">
        <f>res_share_state_target*'LEAP Statewide'!B5</f>
        <v>4.0898368025953209</v>
      </c>
      <c r="C5" s="4">
        <f>res_share_state_target*'LEAP Statewide'!C5</f>
        <v>3.7676791866632184</v>
      </c>
      <c r="D5" s="4">
        <f>res_share_state_target*'LEAP Statewide'!D5</f>
        <v>3.5059598504369709</v>
      </c>
      <c r="E5" s="5">
        <f>res_share_state_target*'LEAP Statewide'!E5</f>
        <v>3.1751681945468886</v>
      </c>
      <c r="G5" s="1" t="s">
        <v>3</v>
      </c>
      <c r="H5" s="4">
        <f>res_share_state_target*'LEAP Statewide'!H5</f>
        <v>4.1022482350349163</v>
      </c>
      <c r="I5" s="4">
        <f>res_share_state_target*'LEAP Statewide'!I5</f>
        <v>3.850781821258769</v>
      </c>
      <c r="J5" s="4">
        <f>res_share_state_target*'LEAP Statewide'!J5</f>
        <v>3.5949983875036322</v>
      </c>
      <c r="K5" s="5">
        <f>res_share_state_target*'LEAP Statewide'!K5</f>
        <v>3.4233968433387938</v>
      </c>
      <c r="L5" s="21"/>
      <c r="M5" s="1" t="s">
        <v>14</v>
      </c>
      <c r="N5" s="4">
        <f ca="1">com_share_state_target*'LEAP Statewide'!N5</f>
        <v>0.55677694611077244</v>
      </c>
      <c r="O5" s="4">
        <f ca="1">com_share_state_target*'LEAP Statewide'!O5</f>
        <v>0.44984817793668502</v>
      </c>
      <c r="P5" s="4">
        <f ca="1">com_share_state_target*'LEAP Statewide'!P5</f>
        <v>0.32667888448884508</v>
      </c>
      <c r="Q5" s="5">
        <f ca="1">com_share_state_target*'LEAP Statewide'!Q5</f>
        <v>0.13337351729241012</v>
      </c>
      <c r="R5" s="2"/>
      <c r="S5" s="1" t="s">
        <v>14</v>
      </c>
      <c r="T5" s="4">
        <f ca="1">com_share_state_target*'LEAP Statewide'!T5</f>
        <v>0.55066878395029029</v>
      </c>
      <c r="U5" s="4">
        <f ca="1">com_share_state_target*'LEAP Statewide'!U5</f>
        <v>0.41189133966413599</v>
      </c>
      <c r="V5" s="4">
        <f ca="1">com_share_state_target*'LEAP Statewide'!V5</f>
        <v>0.25543615547823328</v>
      </c>
      <c r="W5" s="5">
        <f ca="1">com_share_state_target*'LEAP Statewide'!W5</f>
        <v>6.668675864620506E-3</v>
      </c>
      <c r="Y5" s="92"/>
    </row>
    <row r="6" spans="1:25" x14ac:dyDescent="0.25">
      <c r="A6" s="1" t="s">
        <v>4</v>
      </c>
      <c r="B6" s="4">
        <f>res_share_state_target*'LEAP Statewide'!B6</f>
        <v>0.62057162197976246</v>
      </c>
      <c r="C6" s="4">
        <f>res_share_state_target*'LEAP Statewide'!C6</f>
        <v>0.5029328275522944</v>
      </c>
      <c r="D6" s="4">
        <f>res_share_state_target*'LEAP Statewide'!D6</f>
        <v>0.34266346083230359</v>
      </c>
      <c r="E6" s="5">
        <f>res_share_state_target*'LEAP Statewide'!E6</f>
        <v>0.13544650184080032</v>
      </c>
      <c r="G6" s="1" t="s">
        <v>4</v>
      </c>
      <c r="H6" s="4">
        <f>res_share_state_target*'LEAP Statewide'!H6</f>
        <v>0.62434901446137836</v>
      </c>
      <c r="I6" s="4">
        <f>res_share_state_target*'LEAP Statewide'!I6</f>
        <v>0.51264612250502117</v>
      </c>
      <c r="J6" s="4">
        <f>res_share_state_target*'LEAP Statewide'!J6</f>
        <v>0.29841400604765966</v>
      </c>
      <c r="K6" s="5">
        <f>res_share_state_target*'LEAP Statewide'!K6</f>
        <v>9.6593322029893458E-2</v>
      </c>
      <c r="L6" s="21"/>
      <c r="M6" s="1" t="s">
        <v>15</v>
      </c>
      <c r="N6" s="89">
        <f ca="1">com_share_state_target*'LEAP Statewide'!N6</f>
        <v>1.0230093707838095</v>
      </c>
      <c r="O6" s="89">
        <f ca="1">com_share_state_target*'LEAP Statewide'!O6</f>
        <v>1.0336447590161784</v>
      </c>
      <c r="P6" s="89">
        <f ca="1">com_share_state_target*'LEAP Statewide'!P6</f>
        <v>1.0240154210220065</v>
      </c>
      <c r="Q6" s="90">
        <f ca="1">com_share_state_target*'LEAP Statewide'!Q6</f>
        <v>1.0287582292877928</v>
      </c>
      <c r="R6" s="4"/>
      <c r="S6" s="1" t="s">
        <v>15</v>
      </c>
      <c r="T6" s="89">
        <f ca="1">com_share_state_target*'LEAP Statewide'!T6</f>
        <v>1.0229949986375495</v>
      </c>
      <c r="U6" s="89">
        <f ca="1">com_share_state_target*'LEAP Statewide'!U6</f>
        <v>1.0336016425773986</v>
      </c>
      <c r="V6" s="89">
        <f ca="1">com_share_state_target*'LEAP Statewide'!V6</f>
        <v>1.0239579324369668</v>
      </c>
      <c r="W6" s="90">
        <f ca="1">com_share_state_target*'LEAP Statewide'!W6</f>
        <v>1.0288157178728325</v>
      </c>
      <c r="Y6" s="92"/>
    </row>
    <row r="7" spans="1:25" x14ac:dyDescent="0.25">
      <c r="A7" s="1" t="s">
        <v>5</v>
      </c>
      <c r="B7" s="4">
        <f>res_share_state_target*'LEAP Statewide'!B7</f>
        <v>6.2596789695349944E-2</v>
      </c>
      <c r="C7" s="4">
        <f>res_share_state_target*'LEAP Statewide'!C7</f>
        <v>0.3523767557850303</v>
      </c>
      <c r="D7" s="4">
        <f>res_share_state_target*'LEAP Statewide'!D7</f>
        <v>0.66428144926703259</v>
      </c>
      <c r="E7" s="5">
        <f>res_share_state_target*'LEAP Statewide'!E7</f>
        <v>0.91628749054055358</v>
      </c>
      <c r="G7" s="1" t="s">
        <v>5</v>
      </c>
      <c r="H7" s="4">
        <f>res_share_state_target*'LEAP Statewide'!H7</f>
        <v>0.10954438196686241</v>
      </c>
      <c r="I7" s="4">
        <f>res_share_state_target*'LEAP Statewide'!I7</f>
        <v>0.61355646451390422</v>
      </c>
      <c r="J7" s="4">
        <f>res_share_state_target*'LEAP Statewide'!J7</f>
        <v>1.1850219842326593</v>
      </c>
      <c r="K7" s="5">
        <f>res_share_state_target*'LEAP Statewide'!K7</f>
        <v>1.6323731795554619</v>
      </c>
      <c r="M7" s="1" t="s">
        <v>8</v>
      </c>
      <c r="N7" s="4">
        <f ca="1">com_share_state_target*'LEAP Statewide'!N7</f>
        <v>0.41636107715098292</v>
      </c>
      <c r="O7" s="4">
        <f ca="1">com_share_state_target*'LEAP Statewide'!O7</f>
        <v>0.42757135123375012</v>
      </c>
      <c r="P7" s="4">
        <f ca="1">com_share_state_target*'LEAP Statewide'!P7</f>
        <v>0.43073322341094089</v>
      </c>
      <c r="Q7" s="5">
        <f ca="1">com_share_state_target*'LEAP Statewide'!Q7</f>
        <v>0.44467420528310014</v>
      </c>
      <c r="R7" s="4"/>
      <c r="S7" s="1" t="s">
        <v>8</v>
      </c>
      <c r="T7" s="4">
        <f ca="1">com_share_state_target*'LEAP Statewide'!T7</f>
        <v>0.40459028936407732</v>
      </c>
      <c r="U7" s="4">
        <f ca="1">com_share_state_target*'LEAP Statewide'!U7</f>
        <v>0.35351168155618656</v>
      </c>
      <c r="V7" s="4">
        <f ca="1">com_share_state_target*'LEAP Statewide'!V7</f>
        <v>0.29184080195470685</v>
      </c>
      <c r="W7" s="5">
        <f ca="1">com_share_state_target*'LEAP Statewide'!W7</f>
        <v>0.19761701107442234</v>
      </c>
      <c r="Y7" s="92"/>
    </row>
    <row r="8" spans="1:25" x14ac:dyDescent="0.25">
      <c r="A8" s="1" t="s">
        <v>6</v>
      </c>
      <c r="B8" s="4">
        <f>res_share_state_target*'LEAP Statewide'!B8</f>
        <v>7.0151574658581838E-3</v>
      </c>
      <c r="C8" s="4">
        <f>res_share_state_target*'LEAP Statewide'!C8</f>
        <v>5.1804239747875819E-2</v>
      </c>
      <c r="D8" s="4">
        <f>res_share_state_target*'LEAP Statewide'!D8</f>
        <v>0.17645819164120199</v>
      </c>
      <c r="E8" s="5">
        <f>res_share_state_target*'LEAP Statewide'!E8</f>
        <v>0.36640707071674666</v>
      </c>
      <c r="G8" s="1" t="s">
        <v>6</v>
      </c>
      <c r="H8" s="4">
        <f>res_share_state_target*'LEAP Statewide'!H8</f>
        <v>3.0219139852927561E-2</v>
      </c>
      <c r="I8" s="4">
        <f>res_share_state_target*'LEAP Statewide'!I8</f>
        <v>0.18779036908604985</v>
      </c>
      <c r="J8" s="4">
        <f>res_share_state_target*'LEAP Statewide'!J8</f>
        <v>0.4084980155118958</v>
      </c>
      <c r="K8" s="5">
        <f>res_share_state_target*'LEAP Statewide'!K8</f>
        <v>0.67777213670137526</v>
      </c>
      <c r="M8" s="1" t="s">
        <v>9</v>
      </c>
      <c r="N8" s="4">
        <f ca="1">com_share_state_target*'LEAP Statewide'!N8</f>
        <v>0.40112660211542744</v>
      </c>
      <c r="O8" s="4">
        <f ca="1">com_share_state_target*'LEAP Statewide'!O8</f>
        <v>0.48721575821257579</v>
      </c>
      <c r="P8" s="4">
        <f ca="1">com_share_state_target*'LEAP Statewide'!P8</f>
        <v>0.56928071335693586</v>
      </c>
      <c r="Q8" s="5">
        <f ca="1">com_share_state_target*'LEAP Statewide'!Q8</f>
        <v>0.71386450473211327</v>
      </c>
      <c r="R8" s="4"/>
      <c r="S8" s="1" t="s">
        <v>9</v>
      </c>
      <c r="T8" s="4">
        <f ca="1">com_share_state_target*'LEAP Statewide'!T8</f>
        <v>0.37193677306145279</v>
      </c>
      <c r="U8" s="4">
        <f ca="1">com_share_state_target*'LEAP Statewide'!U8</f>
        <v>0.30473261714988925</v>
      </c>
      <c r="V8" s="4">
        <f ca="1">com_share_state_target*'LEAP Statewide'!V8</f>
        <v>0.22683558442091692</v>
      </c>
      <c r="W8" s="5">
        <f ca="1">com_share_state_target*'LEAP Statewide'!W8</f>
        <v>0.10497415628273314</v>
      </c>
      <c r="Y8" s="23"/>
    </row>
    <row r="9" spans="1:25" x14ac:dyDescent="0.25">
      <c r="A9" s="1" t="s">
        <v>7</v>
      </c>
      <c r="B9" s="4">
        <f>res_share_state_target*'LEAP Statewide'!B9</f>
        <v>0.52505755494461637</v>
      </c>
      <c r="C9" s="4">
        <f>res_share_state_target*'LEAP Statewide'!C9</f>
        <v>0.42144907544886473</v>
      </c>
      <c r="D9" s="4">
        <f>res_share_state_target*'LEAP Statewide'!D9</f>
        <v>0.32161798843472905</v>
      </c>
      <c r="E9" s="5">
        <f>res_share_state_target*'LEAP Statewide'!E9</f>
        <v>0.15919011172524339</v>
      </c>
      <c r="G9" s="1" t="s">
        <v>7</v>
      </c>
      <c r="H9" s="4">
        <f>res_share_state_target*'LEAP Statewide'!H9</f>
        <v>0.51534425999188971</v>
      </c>
      <c r="I9" s="4">
        <f>res_share_state_target*'LEAP Statewide'!I9</f>
        <v>0.37126371819311005</v>
      </c>
      <c r="J9" s="4">
        <f>res_share_state_target*'LEAP Statewide'!J9</f>
        <v>0.23042094137857266</v>
      </c>
      <c r="K9" s="5">
        <f>res_share_state_target*'LEAP Statewide'!K9</f>
        <v>0</v>
      </c>
      <c r="L9" s="21"/>
      <c r="M9" s="1" t="s">
        <v>16</v>
      </c>
      <c r="N9" s="4">
        <f ca="1">com_share_state_target*'LEAP Statewide'!N9</f>
        <v>5.6482534801634891E-2</v>
      </c>
      <c r="O9" s="4">
        <f ca="1">com_share_state_target*'LEAP Statewide'!O9</f>
        <v>4.2110388541676903E-2</v>
      </c>
      <c r="P9" s="4">
        <f ca="1">com_share_state_target*'LEAP Statewide'!P9</f>
        <v>2.5869863267924377E-2</v>
      </c>
      <c r="Q9" s="5">
        <f ca="1">com_share_state_target*'LEAP Statewide'!Q9</f>
        <v>0</v>
      </c>
      <c r="R9" s="2"/>
      <c r="S9" s="1" t="s">
        <v>16</v>
      </c>
      <c r="T9" s="4">
        <f ca="1">com_share_state_target*'LEAP Statewide'!T9</f>
        <v>5.6439418362855015E-2</v>
      </c>
      <c r="U9" s="4">
        <f ca="1">com_share_state_target*'LEAP Statewide'!U9</f>
        <v>4.2038527810377112E-2</v>
      </c>
      <c r="V9" s="4">
        <f ca="1">com_share_state_target*'LEAP Statewide'!V9</f>
        <v>2.5812374682884543E-2</v>
      </c>
      <c r="W9" s="5">
        <f ca="1">com_share_state_target*'LEAP Statewide'!W9</f>
        <v>0</v>
      </c>
      <c r="Y9" s="23"/>
    </row>
    <row r="10" spans="1:25" x14ac:dyDescent="0.25">
      <c r="A10" s="1" t="s">
        <v>8</v>
      </c>
      <c r="B10" s="4">
        <f>res_share_state_target*'LEAP Statewide'!B10</f>
        <v>3.0289291427586145</v>
      </c>
      <c r="C10" s="4">
        <f>res_share_state_target*'LEAP Statewide'!C10</f>
        <v>2.4267048556895578</v>
      </c>
      <c r="D10" s="4">
        <f>res_share_state_target*'LEAP Statewide'!D10</f>
        <v>1.7926425462754527</v>
      </c>
      <c r="E10" s="5">
        <f>res_share_state_target*'LEAP Statewide'!E10</f>
        <v>0.64701336935107401</v>
      </c>
      <c r="G10" s="1" t="s">
        <v>8</v>
      </c>
      <c r="H10" s="4">
        <f>res_share_state_target*'LEAP Statewide'!H10</f>
        <v>2.9933137279319495</v>
      </c>
      <c r="I10" s="4">
        <f>res_share_state_target*'LEAP Statewide'!I10</f>
        <v>2.2869413338697679</v>
      </c>
      <c r="J10" s="4">
        <f>res_share_state_target*'LEAP Statewide'!J10</f>
        <v>1.6005351572104134</v>
      </c>
      <c r="K10" s="5">
        <f>res_share_state_target*'LEAP Statewide'!K10</f>
        <v>0.54016712487108021</v>
      </c>
      <c r="L10" s="21"/>
      <c r="M10" s="1" t="s">
        <v>17</v>
      </c>
      <c r="N10" s="4">
        <f ca="1">com_share_state_target*'LEAP Statewide'!N10</f>
        <v>0.17979554971207443</v>
      </c>
      <c r="O10" s="4">
        <f ca="1">com_share_state_target*'LEAP Statewide'!O10</f>
        <v>0.19129326672004082</v>
      </c>
      <c r="P10" s="4">
        <f ca="1">com_share_state_target*'LEAP Statewide'!P10</f>
        <v>0.19977283301341603</v>
      </c>
      <c r="Q10" s="5">
        <f ca="1">com_share_state_target*'LEAP Statewide'!Q10</f>
        <v>0.21730685145056478</v>
      </c>
      <c r="R10" s="4"/>
      <c r="S10" s="1" t="s">
        <v>17</v>
      </c>
      <c r="T10" s="4">
        <f ca="1">com_share_state_target*'LEAP Statewide'!T10</f>
        <v>0.19301792427123576</v>
      </c>
      <c r="U10" s="4">
        <f ca="1">com_share_state_target*'LEAP Statewide'!U10</f>
        <v>0.27422055063999839</v>
      </c>
      <c r="V10" s="4">
        <f ca="1">com_share_state_target*'LEAP Statewide'!V10</f>
        <v>0.35530819983868134</v>
      </c>
      <c r="W10" s="5">
        <f ca="1">com_share_state_target*'LEAP Statewide'!W10</f>
        <v>0.49402815553979584</v>
      </c>
      <c r="Y10" s="23"/>
    </row>
    <row r="11" spans="1:25" x14ac:dyDescent="0.25">
      <c r="A11" s="1" t="s">
        <v>9</v>
      </c>
      <c r="B11" s="4">
        <f>res_share_state_target*'LEAP Statewide'!B11</f>
        <v>2.6150348522729816</v>
      </c>
      <c r="C11" s="4">
        <f>res_share_state_target*'LEAP Statewide'!C11</f>
        <v>3.3942569584806135</v>
      </c>
      <c r="D11" s="4">
        <f>res_share_state_target*'LEAP Statewide'!D11</f>
        <v>4.3623486887690426</v>
      </c>
      <c r="E11" s="5">
        <f>res_share_state_target*'LEAP Statewide'!E11</f>
        <v>6.3891895689046843</v>
      </c>
      <c r="G11" s="1" t="s">
        <v>9</v>
      </c>
      <c r="H11" s="4">
        <f>res_share_state_target*'LEAP Statewide'!H11</f>
        <v>2.3813761459101666</v>
      </c>
      <c r="I11" s="4">
        <f>res_share_state_target*'LEAP Statewide'!I11</f>
        <v>1.8940925157817097</v>
      </c>
      <c r="J11" s="4">
        <f>res_share_state_target*'LEAP Statewide'!J11</f>
        <v>1.0560510123603435</v>
      </c>
      <c r="K11" s="5">
        <f>res_share_state_target*'LEAP Statewide'!K11</f>
        <v>0.13112948186181067</v>
      </c>
      <c r="L11" s="21"/>
      <c r="M11" s="7" t="s">
        <v>12</v>
      </c>
      <c r="N11" s="8">
        <f ca="1">SUM(N4:N10)</f>
        <v>2.6335520806747019</v>
      </c>
      <c r="O11" s="8">
        <f ca="1">SUM(O4:O10)</f>
        <v>2.6316837016609065</v>
      </c>
      <c r="P11" s="8">
        <f ca="1">SUM(P4:P10)</f>
        <v>2.5763509385600685</v>
      </c>
      <c r="Q11" s="9">
        <f ca="1">SUM(Q4:Q10)</f>
        <v>2.5379773080459813</v>
      </c>
      <c r="R11" s="4"/>
      <c r="S11" s="7" t="s">
        <v>12</v>
      </c>
      <c r="T11" s="8">
        <f ca="1">SUM(T4:T10)</f>
        <v>2.6055695119065638</v>
      </c>
      <c r="U11" s="8">
        <f ca="1">SUM(U4:U10)</f>
        <v>2.4570190081636376</v>
      </c>
      <c r="V11" s="8">
        <f ca="1">SUM(V4:V10)</f>
        <v>2.2486516316867666</v>
      </c>
      <c r="W11" s="9">
        <f ca="1">SUM(W4:W10)</f>
        <v>1.9556179415924835</v>
      </c>
    </row>
    <row r="12" spans="1:25" x14ac:dyDescent="0.25">
      <c r="A12" s="1" t="s">
        <v>10</v>
      </c>
      <c r="B12" s="4">
        <f>res_share_state_target*'LEAP Statewide'!B12</f>
        <v>5.6007937952416995</v>
      </c>
      <c r="C12" s="4">
        <f>res_share_state_target*'LEAP Statewide'!C12</f>
        <v>4.4001226135852027</v>
      </c>
      <c r="D12" s="4">
        <f>res_share_state_target*'LEAP Statewide'!D12</f>
        <v>2.9004977983836722</v>
      </c>
      <c r="E12" s="5">
        <f>res_share_state_target*'LEAP Statewide'!E12</f>
        <v>0.77652396872076357</v>
      </c>
      <c r="G12" s="1" t="s">
        <v>10</v>
      </c>
      <c r="H12" s="4">
        <f>res_share_state_target*'LEAP Statewide'!H12</f>
        <v>5.4912494132748364</v>
      </c>
      <c r="I12" s="4">
        <f>res_share_state_target*'LEAP Statewide'!I12</f>
        <v>3.9349637108490674</v>
      </c>
      <c r="J12" s="4">
        <f>res_share_state_target*'LEAP Statewide'!J12</f>
        <v>2.4250859731974366</v>
      </c>
      <c r="K12" s="5">
        <f>res_share_state_target*'LEAP Statewide'!K12</f>
        <v>0</v>
      </c>
      <c r="L12" s="21"/>
    </row>
    <row r="13" spans="1:25" x14ac:dyDescent="0.25">
      <c r="A13" s="1" t="s">
        <v>11</v>
      </c>
      <c r="B13" s="4">
        <f>res_share_state_target*'LEAP Statewide'!B13</f>
        <v>0.34752010830866698</v>
      </c>
      <c r="C13" s="4">
        <f>res_share_state_target*'LEAP Statewide'!C13</f>
        <v>0.46030225525977159</v>
      </c>
      <c r="D13" s="4">
        <f>res_share_state_target*'LEAP Statewide'!D13</f>
        <v>0.56822775473451292</v>
      </c>
      <c r="E13" s="5">
        <f>res_share_state_target*'LEAP Statewide'!E13</f>
        <v>0.73497265142298818</v>
      </c>
      <c r="G13" s="1" t="s">
        <v>11</v>
      </c>
      <c r="H13" s="4">
        <f>res_share_state_target*'LEAP Statewide'!H13</f>
        <v>0.39986397555391645</v>
      </c>
      <c r="I13" s="4">
        <f>res_share_state_target*'LEAP Statewide'!I13</f>
        <v>0.73173488643874596</v>
      </c>
      <c r="J13" s="4">
        <f>res_share_state_target*'LEAP Statewide'!J13</f>
        <v>0.98589943770176169</v>
      </c>
      <c r="K13" s="5">
        <f>res_share_state_target*'LEAP Statewide'!K13</f>
        <v>1.2271129290278084</v>
      </c>
      <c r="L13" s="21"/>
      <c r="N13" s="21"/>
      <c r="O13" s="21"/>
      <c r="P13" s="21"/>
      <c r="Q13" s="21"/>
      <c r="T13" s="21"/>
      <c r="U13" s="21"/>
      <c r="V13" s="21"/>
      <c r="W13" s="21"/>
    </row>
    <row r="14" spans="1:25" x14ac:dyDescent="0.25">
      <c r="A14" s="7" t="s">
        <v>12</v>
      </c>
      <c r="B14" s="8">
        <f>SUM(B4:B13)</f>
        <v>16.897355825262871</v>
      </c>
      <c r="C14" s="8">
        <f>SUM(C4:C13)</f>
        <v>15.777628768212429</v>
      </c>
      <c r="D14" s="8">
        <f>SUM(D4:D13)</f>
        <v>14.634697728774919</v>
      </c>
      <c r="E14" s="9">
        <f>SUM(E4:E13)</f>
        <v>13.30019892776974</v>
      </c>
      <c r="G14" s="7" t="s">
        <v>12</v>
      </c>
      <c r="H14" s="8">
        <f>SUM(H4:H13)</f>
        <v>16.693916258752981</v>
      </c>
      <c r="I14" s="8">
        <f>SUM(I4:I13)</f>
        <v>14.664377241130472</v>
      </c>
      <c r="J14" s="8">
        <f>SUM(J4:J13)</f>
        <v>12.314299490067981</v>
      </c>
      <c r="K14" s="9">
        <f>SUM(K4:K13)</f>
        <v>8.7031122776431395</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15.109569926463781</v>
      </c>
      <c r="C24" s="4">
        <f>res_share_state_target*'LEAP Statewide'!C24*1000</f>
        <v>12.411432439595249</v>
      </c>
      <c r="D24" s="4">
        <f>res_share_state_target*'LEAP Statewide'!D24*1000</f>
        <v>10.792549947474129</v>
      </c>
      <c r="E24" s="5">
        <f>res_share_state_target*'LEAP Statewide'!E24*1000</f>
        <v>9.1736674553530086</v>
      </c>
      <c r="G24" s="1" t="s">
        <v>21</v>
      </c>
      <c r="H24" s="4">
        <f>res_share_state_target*'LEAP Statewide'!H24*1000</f>
        <v>15.109569926463781</v>
      </c>
      <c r="I24" s="4">
        <f>res_share_state_target*'LEAP Statewide'!I24*1000</f>
        <v>12.411432439595249</v>
      </c>
      <c r="J24" s="4">
        <f>res_share_state_target*'LEAP Statewide'!J24*1000</f>
        <v>5.9359024711107713</v>
      </c>
      <c r="K24" s="5">
        <f>res_share_state_target*'LEAP Statewide'!K24*1000</f>
        <v>0.53962749737370641</v>
      </c>
    </row>
    <row r="25" spans="1:16" x14ac:dyDescent="0.25">
      <c r="A25" s="1" t="s">
        <v>22</v>
      </c>
      <c r="B25" s="4">
        <f>res_share_state_target*'LEAP Statewide'!B25*1000</f>
        <v>2.1585099894948256</v>
      </c>
      <c r="C25" s="4">
        <f>res_share_state_target*'LEAP Statewide'!C25*1000</f>
        <v>1.6188824921211193</v>
      </c>
      <c r="D25" s="4">
        <f>res_share_state_target*'LEAP Statewide'!D25*1000</f>
        <v>1.6188824921211193</v>
      </c>
      <c r="E25" s="5">
        <f>res_share_state_target*'LEAP Statewide'!E25*1000</f>
        <v>1.0792549947474128</v>
      </c>
      <c r="G25" s="1" t="s">
        <v>22</v>
      </c>
      <c r="H25" s="4">
        <f>res_share_state_target*'LEAP Statewide'!H25*1000</f>
        <v>2.1585099894948256</v>
      </c>
      <c r="I25" s="4">
        <f>res_share_state_target*'LEAP Statewide'!I25*1000</f>
        <v>1.6188824921211193</v>
      </c>
      <c r="J25" s="4">
        <f>res_share_state_target*'LEAP Statewide'!J25*1000</f>
        <v>0.53962749737370641</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1.0792549947474128</v>
      </c>
      <c r="K26" s="5">
        <f>res_share_state_target*'LEAP Statewide'!K26*1000</f>
        <v>2.6981374868685322</v>
      </c>
    </row>
    <row r="27" spans="1:16" x14ac:dyDescent="0.25">
      <c r="A27" s="1" t="s">
        <v>20</v>
      </c>
      <c r="B27" s="4">
        <f>res_share_state_target*'LEAP Statewide'!B27*1000</f>
        <v>0.53962749737370641</v>
      </c>
      <c r="C27" s="4">
        <f>res_share_state_target*'LEAP Statewide'!C27*1000</f>
        <v>0.53962749737370641</v>
      </c>
      <c r="D27" s="4">
        <f>res_share_state_target*'LEAP Statewide'!D27*1000</f>
        <v>0.53962749737370641</v>
      </c>
      <c r="E27" s="5">
        <f>res_share_state_target*'LEAP Statewide'!E27*1000</f>
        <v>0.53962749737370641</v>
      </c>
      <c r="G27" s="1" t="s">
        <v>20</v>
      </c>
      <c r="H27" s="4">
        <f>res_share_state_target*'LEAP Statewide'!H27*1000</f>
        <v>0.53962749737370641</v>
      </c>
      <c r="I27" s="4">
        <f>res_share_state_target*'LEAP Statewide'!I27*1000</f>
        <v>0.53962749737370641</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0.53962749737370641</v>
      </c>
      <c r="K28" s="5">
        <f>res_share_state_target*'LEAP Statewide'!K28*1000</f>
        <v>0.53962749737370641</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17.807707413332313</v>
      </c>
      <c r="C30" s="8">
        <f>SUM(C24:C29)</f>
        <v>14.569942429090075</v>
      </c>
      <c r="D30" s="8">
        <f>SUM(D24:D29)</f>
        <v>12.951059936968955</v>
      </c>
      <c r="E30" s="9">
        <f>SUM(E24:E29)</f>
        <v>10.792549947474127</v>
      </c>
      <c r="G30" s="7" t="s">
        <v>12</v>
      </c>
      <c r="H30" s="8">
        <f>SUM(H24:H29)</f>
        <v>17.807707413332313</v>
      </c>
      <c r="I30" s="8">
        <f>SUM(I24:I29)</f>
        <v>14.569942429090075</v>
      </c>
      <c r="J30" s="8">
        <f>SUM(J24:J29)</f>
        <v>8.0944124606055965</v>
      </c>
      <c r="K30" s="9">
        <f>SUM(K24:K29)</f>
        <v>3.7773924816159452</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5.5581632229491765E-2</v>
      </c>
      <c r="C49" s="20">
        <f>res_share_state_target*'LEAP Statewide'!C49</f>
        <v>0.2660363562052373</v>
      </c>
      <c r="D49" s="20">
        <f>res_share_state_target*'LEAP Statewide'!D49</f>
        <v>0.46138151025451901</v>
      </c>
      <c r="E49" s="20">
        <f>res_share_state_target*'LEAP Statewide'!E49</f>
        <v>0.76087477129692604</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7.3364341085271331E-2</v>
      </c>
      <c r="I4" s="4">
        <f>res_share_region_target*'LEAP Scenario'!I4</f>
        <v>0.262015503875969</v>
      </c>
      <c r="J4" s="4">
        <f>res_share_region_target*'LEAP Scenario'!J4</f>
        <v>0.4297054263565892</v>
      </c>
      <c r="K4" s="5">
        <f>res_share_region_target*'LEAP Scenario'!K4</f>
        <v>0.66551937984496135</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2.7416038382453732E-2</v>
      </c>
      <c r="U4" s="4">
        <f>com_share_region_target*'LEAP Scenario'!U4</f>
        <v>0.1679232350925291</v>
      </c>
      <c r="V4" s="4">
        <f>com_share_region_target*'LEAP Scenario'!V4</f>
        <v>0.31528444139821793</v>
      </c>
      <c r="W4" s="5">
        <f>com_share_region_target*'LEAP Scenario'!W4</f>
        <v>0.56202878684030155</v>
      </c>
      <c r="Y4" s="23"/>
    </row>
    <row r="5" spans="1:25" x14ac:dyDescent="0.25">
      <c r="A5" s="1" t="s">
        <v>3</v>
      </c>
      <c r="B5" s="4">
        <f>res_share_region_target*'LEAP Scenario'!B5</f>
        <v>9.9041860465116294</v>
      </c>
      <c r="C5" s="4">
        <f>res_share_region_target*'LEAP Scenario'!C5</f>
        <v>8.2168062015503889</v>
      </c>
      <c r="D5" s="4">
        <f>res_share_region_target*'LEAP Scenario'!D5</f>
        <v>6.817643410852714</v>
      </c>
      <c r="E5" s="5">
        <f>res_share_region_target*'LEAP Scenario'!E5</f>
        <v>5.1931472868217057</v>
      </c>
      <c r="G5" s="1" t="s">
        <v>3</v>
      </c>
      <c r="H5" s="4">
        <f>res_share_region_target*'LEAP Scenario'!H5</f>
        <v>9.7417364341085282</v>
      </c>
      <c r="I5" s="4">
        <f>res_share_region_target*'LEAP Scenario'!I5</f>
        <v>7.703255813953489</v>
      </c>
      <c r="J5" s="4">
        <f>res_share_region_target*'LEAP Scenario'!J5</f>
        <v>5.9110697674418615</v>
      </c>
      <c r="K5" s="5">
        <f>res_share_region_target*'LEAP Scenario'!K5</f>
        <v>3.9302325581395352</v>
      </c>
      <c r="L5" s="21"/>
      <c r="M5" s="1" t="s">
        <v>14</v>
      </c>
      <c r="N5" s="4">
        <f>com_share_region_target*'LEAP Scenario'!N5</f>
        <v>1.4153529814941739</v>
      </c>
      <c r="O5" s="4">
        <f>com_share_region_target*'LEAP Scenario'!O5</f>
        <v>1.1617546264564769</v>
      </c>
      <c r="P5" s="4">
        <f>com_share_region_target*'LEAP Scenario'!P5</f>
        <v>0.86703221384509932</v>
      </c>
      <c r="Q5" s="5">
        <f>com_share_region_target*'LEAP Scenario'!Q5</f>
        <v>0.40438656614119256</v>
      </c>
      <c r="R5" s="2"/>
      <c r="S5" s="1" t="s">
        <v>14</v>
      </c>
      <c r="T5" s="4">
        <f>com_share_region_target*'LEAP Scenario'!T5</f>
        <v>1.3982179575051403</v>
      </c>
      <c r="U5" s="4">
        <f>com_share_region_target*'LEAP Scenario'!U5</f>
        <v>1.0418094585332418</v>
      </c>
      <c r="V5" s="4">
        <f>com_share_region_target*'LEAP Scenario'!V5</f>
        <v>0.64084989718985597</v>
      </c>
      <c r="W5" s="5">
        <f>com_share_region_target*'LEAP Scenario'!W5</f>
        <v>3.4270047978067165E-3</v>
      </c>
      <c r="Y5" s="92"/>
    </row>
    <row r="6" spans="1:25" x14ac:dyDescent="0.25">
      <c r="A6" s="1" t="s">
        <v>4</v>
      </c>
      <c r="B6" s="4">
        <f>res_share_region_target*'LEAP Scenario'!B6</f>
        <v>1.0008992248062016</v>
      </c>
      <c r="C6" s="4">
        <f>res_share_region_target*'LEAP Scenario'!C6</f>
        <v>0.74412403100775204</v>
      </c>
      <c r="D6" s="4">
        <f>res_share_region_target*'LEAP Scenario'!D6</f>
        <v>0.4297054263565892</v>
      </c>
      <c r="E6" s="5">
        <f>res_share_region_target*'LEAP Scenario'!E6</f>
        <v>0.12576744186046512</v>
      </c>
      <c r="G6" s="1" t="s">
        <v>4</v>
      </c>
      <c r="H6" s="4">
        <f>res_share_region_target*'LEAP Scenario'!H6</f>
        <v>1.0847441860465117</v>
      </c>
      <c r="I6" s="4">
        <f>res_share_region_target*'LEAP Scenario'!I6</f>
        <v>0.97993798449612413</v>
      </c>
      <c r="J6" s="4">
        <f>res_share_region_target*'LEAP Scenario'!J6</f>
        <v>0.53451162790697682</v>
      </c>
      <c r="K6" s="5">
        <f>res_share_region_target*'LEAP Scenario'!K6</f>
        <v>0.1624496124031008</v>
      </c>
      <c r="L6" s="21"/>
      <c r="M6" s="1" t="s">
        <v>15</v>
      </c>
      <c r="N6" s="89">
        <f>com_share_region_target*'LEAP Scenario'!N6</f>
        <v>2.5839616175462643</v>
      </c>
      <c r="O6" s="89">
        <f>com_share_region_target*'LEAP Scenario'!O6</f>
        <v>2.7484578478409865</v>
      </c>
      <c r="P6" s="89">
        <f>com_share_region_target*'LEAP Scenario'!P6</f>
        <v>2.8684030157642217</v>
      </c>
      <c r="Q6" s="90">
        <f>com_share_region_target*'LEAP Scenario'!Q6</f>
        <v>3.1220013708019185</v>
      </c>
      <c r="R6" s="4"/>
      <c r="S6" s="1" t="s">
        <v>15</v>
      </c>
      <c r="T6" s="89">
        <f>com_share_region_target*'LEAP Scenario'!T6</f>
        <v>2.5496915695681972</v>
      </c>
      <c r="U6" s="89">
        <f>com_share_region_target*'LEAP Scenario'!U6</f>
        <v>2.5257025359835499</v>
      </c>
      <c r="V6" s="89">
        <f>com_share_region_target*'LEAP Scenario'!V6</f>
        <v>2.4468814256339955</v>
      </c>
      <c r="W6" s="90">
        <f>com_share_region_target*'LEAP Scenario'!W6</f>
        <v>2.3714873200822479</v>
      </c>
      <c r="Y6" s="92"/>
    </row>
    <row r="7" spans="1:25" x14ac:dyDescent="0.25">
      <c r="A7" s="1" t="s">
        <v>5</v>
      </c>
      <c r="B7" s="4">
        <f>res_share_region_target*'LEAP Scenario'!B7</f>
        <v>0.13624806201550388</v>
      </c>
      <c r="C7" s="4">
        <f>res_share_region_target*'LEAP Scenario'!C7</f>
        <v>0.64455813953488383</v>
      </c>
      <c r="D7" s="4">
        <f>res_share_region_target*'LEAP Scenario'!D7</f>
        <v>1.0008992248062016</v>
      </c>
      <c r="E7" s="5">
        <f>res_share_region_target*'LEAP Scenario'!E7</f>
        <v>1.2576744186046513</v>
      </c>
      <c r="G7" s="1" t="s">
        <v>5</v>
      </c>
      <c r="H7" s="4">
        <f>res_share_region_target*'LEAP Scenario'!H7</f>
        <v>0.12052713178294575</v>
      </c>
      <c r="I7" s="4">
        <f>res_share_region_target*'LEAP Scenario'!I7</f>
        <v>0.57643410852713184</v>
      </c>
      <c r="J7" s="4">
        <f>res_share_region_target*'LEAP Scenario'!J7</f>
        <v>1.1790697674418606</v>
      </c>
      <c r="K7" s="5">
        <f>res_share_region_target*'LEAP Scenario'!K7</f>
        <v>1.4148837209302327</v>
      </c>
      <c r="M7" s="1" t="s">
        <v>8</v>
      </c>
      <c r="N7" s="4">
        <f>com_share_region_target*'LEAP Scenario'!N7</f>
        <v>1.0657984921178889</v>
      </c>
      <c r="O7" s="4">
        <f>com_share_region_target*'LEAP Scenario'!O7</f>
        <v>1.1514736120630567</v>
      </c>
      <c r="P7" s="4">
        <f>com_share_region_target*'LEAP Scenario'!P7</f>
        <v>1.2165867032213844</v>
      </c>
      <c r="Q7" s="5">
        <f>com_share_region_target*'LEAP Scenario'!Q7</f>
        <v>1.3502398903358463</v>
      </c>
      <c r="R7" s="4"/>
      <c r="S7" s="1" t="s">
        <v>8</v>
      </c>
      <c r="T7" s="4">
        <f>com_share_region_target*'LEAP Scenario'!T7</f>
        <v>1.0246744345442083</v>
      </c>
      <c r="U7" s="4">
        <f>com_share_region_target*'LEAP Scenario'!U7</f>
        <v>0.88416723783413287</v>
      </c>
      <c r="V7" s="4">
        <f>com_share_region_target*'LEAP Scenario'!V7</f>
        <v>0.71624400274160371</v>
      </c>
      <c r="W7" s="5">
        <f>com_share_region_target*'LEAP Scenario'!W7</f>
        <v>0.45579163810829332</v>
      </c>
      <c r="Y7" s="92"/>
    </row>
    <row r="8" spans="1:25" x14ac:dyDescent="0.25">
      <c r="A8" s="1" t="s">
        <v>6</v>
      </c>
      <c r="B8" s="4">
        <f>res_share_region_target*'LEAP Scenario'!B8</f>
        <v>1.572093023255814E-2</v>
      </c>
      <c r="C8" s="4">
        <f>res_share_region_target*'LEAP Scenario'!C8</f>
        <v>6.812403100775194E-2</v>
      </c>
      <c r="D8" s="4">
        <f>res_share_region_target*'LEAP Scenario'!D8</f>
        <v>0.24629457364341087</v>
      </c>
      <c r="E8" s="5">
        <f>res_share_region_target*'LEAP Scenario'!E8</f>
        <v>0.59215503875969</v>
      </c>
      <c r="G8" s="1" t="s">
        <v>6</v>
      </c>
      <c r="H8" s="4">
        <f>res_share_region_target*'LEAP Scenario'!H8</f>
        <v>8.3844961240310087E-2</v>
      </c>
      <c r="I8" s="4">
        <f>res_share_region_target*'LEAP Scenario'!I8</f>
        <v>0.24105426356589149</v>
      </c>
      <c r="J8" s="4">
        <f>res_share_region_target*'LEAP Scenario'!J8</f>
        <v>0.47162790697674423</v>
      </c>
      <c r="K8" s="5">
        <f>res_share_region_target*'LEAP Scenario'!K8</f>
        <v>0.66027906976744188</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0.67600000000000005</v>
      </c>
      <c r="C9" s="4">
        <f>res_share_region_target*'LEAP Scenario'!C9</f>
        <v>0.85941085271317841</v>
      </c>
      <c r="D9" s="4">
        <f>res_share_region_target*'LEAP Scenario'!D9</f>
        <v>1.0533023255813954</v>
      </c>
      <c r="E9" s="5">
        <f>res_share_region_target*'LEAP Scenario'!E9</f>
        <v>0.26725581395348841</v>
      </c>
      <c r="G9" s="1" t="s">
        <v>7</v>
      </c>
      <c r="H9" s="4">
        <f>res_share_region_target*'LEAP Scenario'!H9</f>
        <v>0.62883720930232567</v>
      </c>
      <c r="I9" s="4">
        <f>res_share_region_target*'LEAP Scenario'!I9</f>
        <v>0.72840310077519388</v>
      </c>
      <c r="J9" s="4">
        <f>res_share_region_target*'LEAP Scenario'!J9</f>
        <v>0.84368992248062025</v>
      </c>
      <c r="K9" s="5">
        <f>res_share_region_target*'LEAP Scenario'!K9</f>
        <v>0</v>
      </c>
      <c r="L9" s="21"/>
      <c r="M9" s="1" t="s">
        <v>16</v>
      </c>
      <c r="N9" s="4">
        <f>com_share_region_target*'LEAP Scenario'!N9</f>
        <v>0.14393420150788208</v>
      </c>
      <c r="O9" s="4">
        <f>com_share_region_target*'LEAP Scenario'!O9</f>
        <v>0.10623714873200821</v>
      </c>
      <c r="P9" s="4">
        <f>com_share_region_target*'LEAP Scenario'!P9</f>
        <v>6.5113091158327613E-2</v>
      </c>
      <c r="Q9" s="5">
        <f>com_share_region_target*'LEAP Scenario'!Q9</f>
        <v>0</v>
      </c>
      <c r="R9" s="2"/>
      <c r="S9" s="1" t="s">
        <v>16</v>
      </c>
      <c r="T9" s="4">
        <f>com_share_region_target*'LEAP Scenario'!T9</f>
        <v>0.14393420150788208</v>
      </c>
      <c r="U9" s="4">
        <f>com_share_region_target*'LEAP Scenario'!U9</f>
        <v>0.10623714873200821</v>
      </c>
      <c r="V9" s="4">
        <f>com_share_region_target*'LEAP Scenario'!V9</f>
        <v>6.5113091158327613E-2</v>
      </c>
      <c r="W9" s="5">
        <f>com_share_region_target*'LEAP Scenario'!W9</f>
        <v>0</v>
      </c>
      <c r="Y9" s="23"/>
    </row>
    <row r="10" spans="1:25" x14ac:dyDescent="0.25">
      <c r="A10" s="1" t="s">
        <v>8</v>
      </c>
      <c r="B10" s="4">
        <f>res_share_region_target*'LEAP Scenario'!B10</f>
        <v>3.7887441860465119</v>
      </c>
      <c r="C10" s="4">
        <f>res_share_region_target*'LEAP Scenario'!C10</f>
        <v>3.0917829457364343</v>
      </c>
      <c r="D10" s="4">
        <f>res_share_region_target*'LEAP Scenario'!D10</f>
        <v>2.4734263565891474</v>
      </c>
      <c r="E10" s="5">
        <f>res_share_region_target*'LEAP Scenario'!E10</f>
        <v>1.6559379844961242</v>
      </c>
      <c r="G10" s="1" t="s">
        <v>8</v>
      </c>
      <c r="H10" s="4">
        <f>res_share_region_target*'LEAP Scenario'!H10</f>
        <v>3.7048992248062018</v>
      </c>
      <c r="I10" s="4">
        <f>res_share_region_target*'LEAP Scenario'!I10</f>
        <v>2.8978914728682175</v>
      </c>
      <c r="J10" s="4">
        <f>res_share_region_target*'LEAP Scenario'!J10</f>
        <v>1.8550697674418606</v>
      </c>
      <c r="K10" s="5">
        <f>res_share_region_target*'LEAP Scenario'!K10</f>
        <v>0.64979844961240318</v>
      </c>
      <c r="L10" s="21"/>
      <c r="M10" s="1" t="s">
        <v>17</v>
      </c>
      <c r="N10" s="4">
        <f>com_share_region_target*'LEAP Scenario'!N10</f>
        <v>0.4626456477039067</v>
      </c>
      <c r="O10" s="4">
        <f>com_share_region_target*'LEAP Scenario'!O10</f>
        <v>0.51747772446881424</v>
      </c>
      <c r="P10" s="4">
        <f>com_share_region_target*'LEAP Scenario'!P10</f>
        <v>0.56888279643591499</v>
      </c>
      <c r="Q10" s="5">
        <f>com_share_region_target*'LEAP Scenario'!Q10</f>
        <v>0.65798492117888951</v>
      </c>
      <c r="R10" s="4"/>
      <c r="S10" s="1" t="s">
        <v>17</v>
      </c>
      <c r="T10" s="4">
        <f>com_share_region_target*'LEAP Scenario'!T10</f>
        <v>0.48320767649074703</v>
      </c>
      <c r="U10" s="4">
        <f>com_share_region_target*'LEAP Scenario'!U10</f>
        <v>0.66141192597669629</v>
      </c>
      <c r="V10" s="4">
        <f>com_share_region_target*'LEAP Scenario'!V10</f>
        <v>0.83618917066483878</v>
      </c>
      <c r="W10" s="5">
        <f>com_share_region_target*'LEAP Scenario'!W10</f>
        <v>1.13776559287183</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5.6716929403701162</v>
      </c>
      <c r="O11" s="8">
        <f>SUM(O4:O10)</f>
        <v>5.6854009595613419</v>
      </c>
      <c r="P11" s="8">
        <f>SUM(P4:P10)</f>
        <v>5.5860178204249475</v>
      </c>
      <c r="Q11" s="9">
        <f>SUM(Q4:Q10)</f>
        <v>5.5346127484578469</v>
      </c>
      <c r="R11" s="4"/>
      <c r="S11" s="7" t="s">
        <v>12</v>
      </c>
      <c r="T11" s="8">
        <f>SUM(T4:T10)</f>
        <v>5.6271418779986293</v>
      </c>
      <c r="U11" s="8">
        <f>SUM(U4:U10)</f>
        <v>5.3872515421521578</v>
      </c>
      <c r="V11" s="8">
        <f>SUM(V4:V10)</f>
        <v>5.0205620287868395</v>
      </c>
      <c r="W11" s="9">
        <f>SUM(W4:W10)</f>
        <v>4.5305003427004795</v>
      </c>
    </row>
    <row r="12" spans="1:25" x14ac:dyDescent="0.25">
      <c r="A12" s="1" t="s">
        <v>10</v>
      </c>
      <c r="B12" s="4">
        <f>res_share_region_target*'LEAP Scenario'!B12</f>
        <v>9.2281860465116292</v>
      </c>
      <c r="C12" s="4">
        <f>res_share_region_target*'LEAP Scenario'!C12</f>
        <v>7.0324961240310087</v>
      </c>
      <c r="D12" s="4">
        <f>res_share_region_target*'LEAP Scenario'!D12</f>
        <v>4.9258914728682175</v>
      </c>
      <c r="E12" s="5">
        <f>res_share_region_target*'LEAP Scenario'!E12</f>
        <v>2.1537674418604653</v>
      </c>
      <c r="G12" s="1" t="s">
        <v>10</v>
      </c>
      <c r="H12" s="4">
        <f>res_share_region_target*'LEAP Scenario'!H12</f>
        <v>8.8770852713178297</v>
      </c>
      <c r="I12" s="4">
        <f>res_share_region_target*'LEAP Scenario'!I12</f>
        <v>5.963472868217055</v>
      </c>
      <c r="J12" s="4">
        <f>res_share_region_target*'LEAP Scenario'!J12</f>
        <v>3.1494263565891476</v>
      </c>
      <c r="K12" s="5">
        <f>res_share_region_target*'LEAP Scenario'!K12</f>
        <v>0</v>
      </c>
      <c r="L12" s="21"/>
    </row>
    <row r="13" spans="1:25" x14ac:dyDescent="0.25">
      <c r="A13" s="1" t="s">
        <v>11</v>
      </c>
      <c r="B13" s="4">
        <f>res_share_region_target*'LEAP Scenario'!B13</f>
        <v>1.9074728682170545</v>
      </c>
      <c r="C13" s="4">
        <f>res_share_region_target*'LEAP Scenario'!C13</f>
        <v>1.6926201550387598</v>
      </c>
      <c r="D13" s="4">
        <f>res_share_region_target*'LEAP Scenario'!D13</f>
        <v>1.5196899224806204</v>
      </c>
      <c r="E13" s="5">
        <f>res_share_region_target*'LEAP Scenario'!E13</f>
        <v>1.3572403100775194</v>
      </c>
      <c r="G13" s="1" t="s">
        <v>11</v>
      </c>
      <c r="H13" s="4">
        <f>res_share_region_target*'LEAP Scenario'!H13</f>
        <v>1.6559379844961242</v>
      </c>
      <c r="I13" s="4">
        <f>res_share_region_target*'LEAP Scenario'!I13</f>
        <v>1.8498294573643412</v>
      </c>
      <c r="J13" s="4">
        <f>res_share_region_target*'LEAP Scenario'!J13</f>
        <v>1.6611782945736435</v>
      </c>
      <c r="K13" s="5">
        <f>res_share_region_target*'LEAP Scenario'!K13</f>
        <v>1.5511317829457365</v>
      </c>
      <c r="L13" s="21"/>
      <c r="N13" s="21"/>
      <c r="O13" s="21"/>
      <c r="P13" s="21"/>
      <c r="Q13" s="21"/>
      <c r="T13" s="21"/>
      <c r="U13" s="21"/>
      <c r="V13" s="21"/>
      <c r="W13" s="21"/>
    </row>
    <row r="14" spans="1:25" x14ac:dyDescent="0.25">
      <c r="A14" s="7" t="s">
        <v>12</v>
      </c>
      <c r="B14" s="8">
        <f>SUM(B4:B13)</f>
        <v>26.657457364341091</v>
      </c>
      <c r="C14" s="8">
        <f>SUM(C4:C13)</f>
        <v>22.349922480620158</v>
      </c>
      <c r="D14" s="8">
        <f>SUM(D4:D13)</f>
        <v>18.466852713178294</v>
      </c>
      <c r="E14" s="9">
        <f>SUM(E4:E13)</f>
        <v>12.602945736434108</v>
      </c>
      <c r="G14" s="7" t="s">
        <v>12</v>
      </c>
      <c r="H14" s="8">
        <f>SUM(H4:H13)</f>
        <v>25.97097674418605</v>
      </c>
      <c r="I14" s="8">
        <f>SUM(I4:I13)</f>
        <v>21.20229457364341</v>
      </c>
      <c r="J14" s="8">
        <f>SUM(J4:J13)</f>
        <v>16.035348837209305</v>
      </c>
      <c r="K14" s="9">
        <f>SUM(K4:K13)</f>
        <v>9.034294573643411</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15.259782945736436</v>
      </c>
      <c r="C24" s="4">
        <f>res_share_region_target*'LEAP Scenario'!C24</f>
        <v>12.419534883720932</v>
      </c>
      <c r="D24" s="4">
        <f>res_share_region_target*'LEAP Scenario'!D24</f>
        <v>10.585426356589149</v>
      </c>
      <c r="E24" s="5">
        <f>res_share_region_target*'LEAP Scenario'!E24</f>
        <v>8.8875658914728692</v>
      </c>
      <c r="G24" s="1" t="s">
        <v>21</v>
      </c>
      <c r="H24" s="4">
        <f>res_share_region_target*'LEAP Scenario'!H24</f>
        <v>15.317426356589149</v>
      </c>
      <c r="I24" s="4">
        <f>res_share_region_target*'LEAP Scenario'!I24</f>
        <v>10.973209302325582</v>
      </c>
      <c r="J24" s="4">
        <f>res_share_region_target*'LEAP Scenario'!J24</f>
        <v>6.1102015503875977</v>
      </c>
      <c r="K24" s="5">
        <f>res_share_region_target*'LEAP Scenario'!K24</f>
        <v>0.47686821705426363</v>
      </c>
    </row>
    <row r="25" spans="1:16" x14ac:dyDescent="0.25">
      <c r="A25" s="1" t="s">
        <v>22</v>
      </c>
      <c r="B25" s="4">
        <f>res_share_region_target*'LEAP Scenario'!B25</f>
        <v>2.0699224806201553</v>
      </c>
      <c r="C25" s="4">
        <f>res_share_region_target*'LEAP Scenario'!C25</f>
        <v>1.6716589147286824</v>
      </c>
      <c r="D25" s="4">
        <f>res_share_region_target*'LEAP Scenario'!D25</f>
        <v>1.4148837209302327</v>
      </c>
      <c r="E25" s="5">
        <f>res_share_region_target*'LEAP Scenario'!E25</f>
        <v>1.1738294573643413</v>
      </c>
      <c r="G25" s="1" t="s">
        <v>22</v>
      </c>
      <c r="H25" s="4">
        <f>res_share_region_target*'LEAP Scenario'!H25</f>
        <v>2.0437209302325585</v>
      </c>
      <c r="I25" s="4">
        <f>res_share_region_target*'LEAP Scenario'!I25</f>
        <v>1.362480620155039</v>
      </c>
      <c r="J25" s="4">
        <f>res_share_region_target*'LEAP Scenario'!J25</f>
        <v>0.73888372093023269</v>
      </c>
      <c r="K25" s="5">
        <f>res_share_region_target*'LEAP Scenario'!K25</f>
        <v>8.3844961240310087E-2</v>
      </c>
    </row>
    <row r="26" spans="1:16" x14ac:dyDescent="0.25">
      <c r="A26" s="1" t="s">
        <v>23</v>
      </c>
      <c r="B26" s="4">
        <f>res_share_region_target*'LEAP Scenario'!B26</f>
        <v>1.572093023255814E-2</v>
      </c>
      <c r="C26" s="4">
        <f>res_share_region_target*'LEAP Scenario'!C26</f>
        <v>4.7162790697674421E-2</v>
      </c>
      <c r="D26" s="4">
        <f>res_share_region_target*'LEAP Scenario'!D26</f>
        <v>7.3364341085271331E-2</v>
      </c>
      <c r="E26" s="5">
        <f>res_share_region_target*'LEAP Scenario'!E26</f>
        <v>0.11004651162790699</v>
      </c>
      <c r="G26" s="1" t="s">
        <v>23</v>
      </c>
      <c r="H26" s="4">
        <f>res_share_region_target*'LEAP Scenario'!H26</f>
        <v>1.572093023255814E-2</v>
      </c>
      <c r="I26" s="4">
        <f>res_share_region_target*'LEAP Scenario'!I26</f>
        <v>0.4297054263565892</v>
      </c>
      <c r="J26" s="4">
        <f>res_share_region_target*'LEAP Scenario'!J26</f>
        <v>1.2471937984496126</v>
      </c>
      <c r="K26" s="5">
        <f>res_share_region_target*'LEAP Scenario'!K26</f>
        <v>2.4157829457364346</v>
      </c>
    </row>
    <row r="27" spans="1:16" x14ac:dyDescent="0.25">
      <c r="A27" s="1" t="s">
        <v>20</v>
      </c>
      <c r="B27" s="4">
        <f>res_share_region_target*'LEAP Scenario'!B27</f>
        <v>0.55547286821705433</v>
      </c>
      <c r="C27" s="4">
        <f>res_share_region_target*'LEAP Scenario'!C27</f>
        <v>0.524031007751938</v>
      </c>
      <c r="D27" s="4">
        <f>res_share_region_target*'LEAP Scenario'!D27</f>
        <v>0.5135503875968993</v>
      </c>
      <c r="E27" s="5">
        <f>res_share_region_target*'LEAP Scenario'!E27</f>
        <v>0.50831007751937995</v>
      </c>
      <c r="G27" s="1" t="s">
        <v>20</v>
      </c>
      <c r="H27" s="4">
        <f>res_share_region_target*'LEAP Scenario'!H27</f>
        <v>0.5135503875968993</v>
      </c>
      <c r="I27" s="4">
        <f>res_share_region_target*'LEAP Scenario'!I27</f>
        <v>0.31965891472868219</v>
      </c>
      <c r="J27" s="4">
        <f>res_share_region_target*'LEAP Scenario'!J27</f>
        <v>0.17293023255813955</v>
      </c>
      <c r="K27" s="5">
        <f>res_share_region_target*'LEAP Scenario'!K27</f>
        <v>5.2403100775193804E-3</v>
      </c>
    </row>
    <row r="28" spans="1:16" x14ac:dyDescent="0.25">
      <c r="A28" s="1" t="s">
        <v>18</v>
      </c>
      <c r="B28" s="4">
        <f>res_share_region_target*'LEAP Scenario'!B28</f>
        <v>5.2403100775193804E-3</v>
      </c>
      <c r="C28" s="4">
        <f>res_share_region_target*'LEAP Scenario'!C28</f>
        <v>5.2403100775193804E-3</v>
      </c>
      <c r="D28" s="4">
        <f>res_share_region_target*'LEAP Scenario'!D28</f>
        <v>5.2403100775193804E-3</v>
      </c>
      <c r="E28" s="5">
        <f>res_share_region_target*'LEAP Scenario'!E28</f>
        <v>0</v>
      </c>
      <c r="G28" s="1" t="s">
        <v>18</v>
      </c>
      <c r="H28" s="4">
        <f>res_share_region_target*'LEAP Scenario'!H28</f>
        <v>4.1922480620155043E-2</v>
      </c>
      <c r="I28" s="4">
        <f>res_share_region_target*'LEAP Scenario'!I28</f>
        <v>0.19913178294573647</v>
      </c>
      <c r="J28" s="4">
        <f>res_share_region_target*'LEAP Scenario'!J28</f>
        <v>0.31965891472868219</v>
      </c>
      <c r="K28" s="5">
        <f>res_share_region_target*'LEAP Scenario'!K28</f>
        <v>0.45590697674418612</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17.906139534883721</v>
      </c>
      <c r="C30" s="8">
        <f>SUM(C24:C29)</f>
        <v>14.667627906976747</v>
      </c>
      <c r="D30" s="8">
        <f>SUM(D24:D29)</f>
        <v>12.592465116279072</v>
      </c>
      <c r="E30" s="9">
        <f>SUM(E24:E29)</f>
        <v>10.679751937984497</v>
      </c>
      <c r="G30" s="7" t="s">
        <v>12</v>
      </c>
      <c r="H30" s="8">
        <f>SUM(H24:H29)</f>
        <v>17.932341085271322</v>
      </c>
      <c r="I30" s="8">
        <f>SUM(I24:I29)</f>
        <v>13.28418604651163</v>
      </c>
      <c r="J30" s="8">
        <f>SUM(J24:J29)</f>
        <v>8.5888682170542641</v>
      </c>
      <c r="K30" s="9">
        <f>SUM(K24:K29)</f>
        <v>3.4376434108527136</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6.2883720930232562E-2</v>
      </c>
      <c r="C49" s="20">
        <f>res_share_region_target*'LEAP Scenario'!C49</f>
        <v>0.29345736434108532</v>
      </c>
      <c r="D49" s="20">
        <f>res_share_region_target*'LEAP Scenario'!D49</f>
        <v>0.46114728682170547</v>
      </c>
      <c r="E49" s="20">
        <f>res_share_region_target*'LEAP Scenario'!E49</f>
        <v>0.67600000000000005</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26657.457364341091</v>
      </c>
      <c r="J21" s="63">
        <f>'2.Heat Targets'!C24</f>
        <v>22349.922480620156</v>
      </c>
      <c r="K21" s="63">
        <f>'2.Heat Targets'!D24</f>
        <v>18466.852713178294</v>
      </c>
      <c r="L21" s="64">
        <f>'2.Heat Targets'!E24</f>
        <v>12602.945736434109</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212.75658914728683</v>
      </c>
      <c r="J22" s="63">
        <f>'2.Heat Targets'!C25</f>
        <v>1140.2914728682174</v>
      </c>
      <c r="K22" s="63">
        <f>'2.Heat Targets'!D25</f>
        <v>2244.9488372093024</v>
      </c>
      <c r="L22" s="64">
        <f>'2.Heat Targets'!E25</f>
        <v>2404.7782945736431</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25970.976744186049</v>
      </c>
      <c r="J23" s="63">
        <f>'2.Heat Targets'!C26</f>
        <v>21202.294573643409</v>
      </c>
      <c r="K23" s="63">
        <f>'2.Heat Targets'!D26</f>
        <v>16035.348837209305</v>
      </c>
      <c r="L23" s="64">
        <f>'2.Heat Targets'!E26</f>
        <v>9034.2945736434103</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286.12093023255812</v>
      </c>
      <c r="J24" s="63">
        <f>'2.Heat Targets'!C27</f>
        <v>1307.9813953488374</v>
      </c>
      <c r="K24" s="63">
        <f>'2.Heat Targets'!D27</f>
        <v>2971.2558139534885</v>
      </c>
      <c r="L24" s="64">
        <f>'2.Heat Targets'!E27</f>
        <v>4150.3255813953492</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613.11627906977151</v>
      </c>
      <c r="J25" s="63">
        <f>'2.Heat Targets'!C28</f>
        <v>979.9379844961295</v>
      </c>
      <c r="K25" s="63">
        <f>'2.Heat Targets'!D28</f>
        <v>1705.1968992248039</v>
      </c>
      <c r="L25" s="64">
        <f>'2.Heat Targets'!E28</f>
        <v>1823.1038759689927</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32.594999999999999</v>
      </c>
      <c r="J26" s="308">
        <f>'2.Heat Targets'!C29</f>
        <v>0</v>
      </c>
      <c r="K26" s="308">
        <f>'2.Heat Targets'!D29</f>
        <v>0</v>
      </c>
      <c r="L26" s="308">
        <f>'2.Heat Targets'!E29</f>
        <v>0</v>
      </c>
      <c r="O26" s="308">
        <f>'2.Heat Targets'!B29</f>
        <v>32.594999999999999</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18.810132813921506</v>
      </c>
      <c r="J27" s="63">
        <f>'2.Heat Targets'!C30</f>
        <v>30.064058429088188</v>
      </c>
      <c r="K27" s="63">
        <f>'2.Heat Targets'!D30</f>
        <v>52.314677073931705</v>
      </c>
      <c r="L27" s="64">
        <f>'2.Heat Targets'!E30</f>
        <v>55.932010307378214</v>
      </c>
      <c r="O27" s="62">
        <f>O25/$O$26</f>
        <v>312.19128146012042</v>
      </c>
      <c r="P27" s="63">
        <f>P25/$O$26</f>
        <v>1352.0870026638761</v>
      </c>
      <c r="Q27" s="63">
        <f>Q25/$O$26</f>
        <v>2038.6012937908577</v>
      </c>
      <c r="R27" s="64">
        <f>R25/$O$26</f>
        <v>4342.1093751653543</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116</v>
      </c>
      <c r="J28" s="203">
        <f>'2.Heat Targets'!C31</f>
        <v>122.96000000000001</v>
      </c>
      <c r="K28" s="203">
        <f>'2.Heat Targets'!D31</f>
        <v>130.33760000000001</v>
      </c>
      <c r="L28" s="203">
        <f>'2.Heat Targets'!E31</f>
        <v>138.15785600000001</v>
      </c>
      <c r="O28" s="203">
        <f>'2.Heat Targets'!B31</f>
        <v>116</v>
      </c>
      <c r="P28" s="203">
        <f>'2.Heat Targets'!C31</f>
        <v>122.96000000000001</v>
      </c>
      <c r="Q28" s="203">
        <f>'2.Heat Targets'!D31</f>
        <v>130.33760000000001</v>
      </c>
      <c r="R28" s="203">
        <f>'2.Heat Targets'!E31</f>
        <v>138.15785600000001</v>
      </c>
      <c r="T28" t="str">
        <f>'2.Heat Targets'!G31</f>
        <v>Enter a projection of the number of future residences in the area by each year.</v>
      </c>
    </row>
    <row r="29" spans="8:20" x14ac:dyDescent="0.25">
      <c r="I29" s="86">
        <f>'2.Heat Targets'!B32</f>
        <v>0.1621563173613923</v>
      </c>
      <c r="J29" s="87">
        <f>'2.Heat Targets'!C32</f>
        <v>0.24450275235107505</v>
      </c>
      <c r="K29" s="87">
        <f>'2.Heat Targets'!D32</f>
        <v>0.40137824445080855</v>
      </c>
      <c r="L29" s="88">
        <f>'2.Heat Targets'!E32</f>
        <v>0.40484133097272595</v>
      </c>
      <c r="O29" s="104">
        <f>O27/O28</f>
        <v>2.6913041505182793</v>
      </c>
      <c r="P29" s="105">
        <f>P27/P28</f>
        <v>10.996153242224105</v>
      </c>
      <c r="Q29" s="105">
        <f>Q27/Q28</f>
        <v>15.640930121399025</v>
      </c>
      <c r="R29" s="106">
        <f>R27/R28</f>
        <v>31.428610003656644</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130.38</v>
      </c>
      <c r="J34" s="94">
        <f>'2.Heat Targets'!C54</f>
        <v>122.41043278711672</v>
      </c>
      <c r="K34" s="94">
        <f>'2.Heat Targets'!D54</f>
        <v>117.2970761221259</v>
      </c>
      <c r="L34" s="95">
        <f>'2.Heat Targets'!E54</f>
        <v>117.184196816944</v>
      </c>
      <c r="O34" s="107">
        <f>'1.Current Heat'!B10</f>
        <v>130.38</v>
      </c>
      <c r="P34" s="108">
        <f>P29*($O$34-$O$26)+(1-P29)*$O$34</f>
        <v>-228.03961493029487</v>
      </c>
      <c r="Q34" s="108">
        <f>Q29*($O$34-$O$26)+(1-Q29)*$O$34</f>
        <v>-379.43611730700104</v>
      </c>
      <c r="R34" s="110">
        <f>R29*($O$34-$O$26)+(1-R29)*$O$34</f>
        <v>-894.03554306918841</v>
      </c>
      <c r="T34" t="str">
        <f>'2.Heat Targets'!G54</f>
        <v>This is a projection of the average area residential heating load, in millions of Btu, computed based on values inputted above and in the "1.Current Heat" tab</v>
      </c>
    </row>
    <row r="35" spans="9:20" x14ac:dyDescent="0.25">
      <c r="I35" s="81">
        <f>'2.Heat Targets'!B55</f>
        <v>9579.2868217054274</v>
      </c>
      <c r="J35" s="82">
        <f>'2.Heat Targets'!C55</f>
        <v>6953.8914728682175</v>
      </c>
      <c r="K35" s="82">
        <f>'2.Heat Targets'!D55</f>
        <v>4422.8217054263569</v>
      </c>
      <c r="L35" s="83">
        <f>'2.Heat Targets'!E55</f>
        <v>665.51937984496135</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7.6586433260393879E-3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73.47205723044506</v>
      </c>
      <c r="J37" s="63">
        <f>'2.Heat Targets'!C57</f>
        <v>56.807996790287397</v>
      </c>
      <c r="K37" s="63">
        <f>'2.Heat Targets'!D57</f>
        <v>37.706154762301651</v>
      </c>
      <c r="L37" s="64">
        <f>'2.Heat Targets'!E57</f>
        <v>5.6792587901983387</v>
      </c>
      <c r="O37" s="62">
        <f>O35/O34</f>
        <v>2139.4639654248713</v>
      </c>
      <c r="P37" s="62">
        <f>P35/P34</f>
        <v>-933.27948483505133</v>
      </c>
      <c r="Q37" s="62">
        <f>Q35/Q34</f>
        <v>-394.11324007933717</v>
      </c>
      <c r="R37" s="112">
        <f>R35/R34</f>
        <v>-55.094381935591535</v>
      </c>
      <c r="T37" t="str">
        <f>'2.Heat Targets'!G57</f>
        <v>This formula computes an estimate the number of residences using biofuel-blended heat energy in the 90x50 scenario based on values inputted in the "1.Current Heat" tab.</v>
      </c>
    </row>
    <row r="38" spans="9:20" x14ac:dyDescent="0.25">
      <c r="I38" s="65">
        <f>'2.Heat Targets'!B58</f>
        <v>0.63337980371073332</v>
      </c>
      <c r="J38" s="66">
        <f>'2.Heat Targets'!C58</f>
        <v>0.46200387760480965</v>
      </c>
      <c r="K38" s="66">
        <f>'2.Heat Targets'!D58</f>
        <v>0.28929606469891767</v>
      </c>
      <c r="L38" s="67">
        <f>'2.Heat Targets'!E58</f>
        <v>4.1107027530872642E-2</v>
      </c>
      <c r="O38" s="109">
        <f>O37/O28</f>
        <v>18.44365487435234</v>
      </c>
      <c r="P38" s="109">
        <f>P37/P28</f>
        <v>-7.5901064153794024</v>
      </c>
      <c r="Q38" s="109">
        <f>Q37/Q28</f>
        <v>-3.0237877640783406</v>
      </c>
      <c r="R38" s="113">
        <f>R37/R28</f>
        <v>-0.39877849534369969</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11397.674418604653</v>
      </c>
      <c r="J39" s="82">
        <f>'2.Heat Targets'!C59</f>
        <v>9553.0852713178301</v>
      </c>
      <c r="K39" s="82">
        <f>'2.Heat Targets'!D59</f>
        <v>7572.2480620155047</v>
      </c>
      <c r="L39" s="83">
        <f>'2.Heat Targets'!E59</f>
        <v>5481.364341085271</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87.418886474955158</v>
      </c>
      <c r="J40" s="63">
        <f>'2.Heat Targets'!C60</f>
        <v>78.041430405948702</v>
      </c>
      <c r="K40" s="63">
        <f>'2.Heat Targets'!D60</f>
        <v>64.55615359185532</v>
      </c>
      <c r="L40" s="64">
        <f>'2.Heat Targets'!E60</f>
        <v>46.775627516121737</v>
      </c>
      <c r="O40" s="62">
        <f>O39/O34</f>
        <v>1436.5804479796202</v>
      </c>
      <c r="P40" s="62">
        <f>P39/P34</f>
        <v>-848.28793346934128</v>
      </c>
      <c r="Q40" s="62">
        <f>Q39/Q34</f>
        <v>-514.33956023349594</v>
      </c>
      <c r="R40" s="112">
        <f>R39/R34</f>
        <v>-223.21291828381371</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0.75361109030133755</v>
      </c>
      <c r="J41" s="66">
        <f>'2.Heat Targets'!C61</f>
        <v>0.63468957714662244</v>
      </c>
      <c r="K41" s="66">
        <f>'2.Heat Targets'!D61</f>
        <v>0.49529954204968724</v>
      </c>
      <c r="L41" s="67">
        <f>'2.Heat Targets'!E61</f>
        <v>0.33856654171096673</v>
      </c>
      <c r="O41" s="109">
        <f>O40/O28</f>
        <v>12.384314206720864</v>
      </c>
      <c r="P41" s="109">
        <f>P40/P28</f>
        <v>-6.898893408176165</v>
      </c>
      <c r="Q41" s="109">
        <f>Q40/Q28</f>
        <v>-3.9462101514336303</v>
      </c>
      <c r="R41" s="113">
        <f>R40/R28</f>
        <v>-1.615636813905202</v>
      </c>
      <c r="T41" t="str">
        <f>'2.Heat Targets'!G61</f>
        <v>This formula computes the estimated share of area residences using Wood heat  in the 90x50 scenario, based on values inputted in the "1.Current Heat" tab.</v>
      </c>
    </row>
    <row r="42" spans="9:20" x14ac:dyDescent="0.25">
      <c r="I42" s="81">
        <f>'2.Heat Targets'!B62</f>
        <v>204.37209302325581</v>
      </c>
      <c r="J42" s="82">
        <f>'2.Heat Targets'!C62</f>
        <v>817.48837209302326</v>
      </c>
      <c r="K42" s="82">
        <f>'2.Heat Targets'!D62</f>
        <v>1650.6976744186047</v>
      </c>
      <c r="L42" s="83">
        <f>'2.Heat Targets'!E62</f>
        <v>2075.1627906976746</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5.3743236611203953</v>
      </c>
      <c r="J43" s="63">
        <f>'2.Heat Targets'!C63</f>
        <v>23.151292135785546</v>
      </c>
      <c r="K43" s="63">
        <f>'2.Heat Targets'!D63</f>
        <v>49.254781546726974</v>
      </c>
      <c r="L43" s="64">
        <f>'2.Heat Targets'!E63</f>
        <v>62.500782239514827</v>
      </c>
      <c r="O43" s="62">
        <f>O42/((0.7*O34)/2.4)</f>
        <v>159.55024593065801</v>
      </c>
      <c r="P43" s="112">
        <f>P42/((0.75*P34)/2.6)</f>
        <v>-431.12081678591852</v>
      </c>
      <c r="Q43" s="112">
        <f>Q42/((0.8*Q34)/2.8)</f>
        <v>-609.08738148864279</v>
      </c>
      <c r="R43" s="64">
        <f>R42/((0.85*R34)/3)</f>
        <v>-392.9993247297827</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4.6330376388968926E-2</v>
      </c>
      <c r="J44" s="66">
        <f>'2.Heat Targets'!C64</f>
        <v>0.18828311756494426</v>
      </c>
      <c r="K44" s="66">
        <f>'2.Heat Targets'!D64</f>
        <v>0.37790155370919037</v>
      </c>
      <c r="L44" s="67">
        <f>'2.Heat Targets'!E64</f>
        <v>0.452386741145685</v>
      </c>
      <c r="O44" s="109">
        <f>O43/O28</f>
        <v>1.3754331545746381</v>
      </c>
      <c r="P44" s="109">
        <f>P43/P28</f>
        <v>-3.5061875145243859</v>
      </c>
      <c r="Q44" s="109">
        <f>Q43/Q28</f>
        <v>-4.6731517343317872</v>
      </c>
      <c r="R44" s="113">
        <f>R43/R28</f>
        <v>-2.8445673384637837</v>
      </c>
      <c r="T44" t="str">
        <f>'2.Heat Targets'!G64</f>
        <v>This formula computes the estimated share of area residences using Heat Pumps in the 90x50 scenario based on values inputted above and in the "1.Current Heat" tab.</v>
      </c>
    </row>
    <row r="45" spans="9:20" x14ac:dyDescent="0.25">
      <c r="I45" s="81">
        <f>'2.Heat Targets'!B65</f>
        <v>3704.8992248062018</v>
      </c>
      <c r="J45" s="82">
        <f>'2.Heat Targets'!C65</f>
        <v>2897.8914728682175</v>
      </c>
      <c r="K45" s="82">
        <f>'2.Heat Targets'!D65</f>
        <v>1855.0697674418607</v>
      </c>
      <c r="L45" s="83">
        <f>'2.Heat Targets'!E65</f>
        <v>649.79844961240315</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28.416162178295767</v>
      </c>
      <c r="J46" s="63">
        <f>'2.Heat Targets'!C66</f>
        <v>23.673566107783671</v>
      </c>
      <c r="K46" s="63">
        <f>'2.Heat Targets'!D66</f>
        <v>15.815140741534107</v>
      </c>
      <c r="L46" s="64">
        <f>'2.Heat Targets'!E66</f>
        <v>5.5451030707448341</v>
      </c>
      <c r="O46" s="62">
        <f>O45/O34</f>
        <v>1818.0234755366707</v>
      </c>
      <c r="P46" s="62">
        <f>P45/P34</f>
        <v>-819.83051394422398</v>
      </c>
      <c r="Q46" s="62">
        <f>Q45/Q34</f>
        <v>-310.66142965430134</v>
      </c>
      <c r="R46" s="112">
        <f>R45/R34</f>
        <v>-33.472076921235562</v>
      </c>
      <c r="T46" t="str">
        <f>'2.Heat Targets'!G66</f>
        <v>This formula computes the estimates number of area residences using fossil heat in the 90x50 scenario based on values inputted in the "1.Current Heat" tab.</v>
      </c>
    </row>
    <row r="47" spans="9:20" x14ac:dyDescent="0.25">
      <c r="I47" s="65">
        <f>'2.Heat Targets'!B67</f>
        <v>0.24496691533013593</v>
      </c>
      <c r="J47" s="66">
        <f>'2.Heat Targets'!C67</f>
        <v>0.1925306287230292</v>
      </c>
      <c r="K47" s="66">
        <f>'2.Heat Targets'!D67</f>
        <v>0.12133981860594414</v>
      </c>
      <c r="L47" s="67">
        <f>'2.Heat Targets'!E67</f>
        <v>4.0135995384474071E-2</v>
      </c>
      <c r="O47" s="109">
        <f>O46/O28</f>
        <v>15.672616168419575</v>
      </c>
      <c r="P47" s="109">
        <f>P46/P28</f>
        <v>-6.6674570099562782</v>
      </c>
      <c r="Q47" s="109">
        <f>Q46/Q28</f>
        <v>-2.383513503810883</v>
      </c>
      <c r="R47" s="113">
        <f>R46/R28</f>
        <v>-0.24227414850180912</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workbookViewId="0">
      <selection activeCell="C30" sqref="C3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274</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5.3962749737370645E-4</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5.2403100775193804E-3</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2.6257746035080349E-4</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3.4270047978067165E-3</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C11" sqref="C11"/>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16389.420364545455</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218</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138727.27272727274</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126241.81818181819</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15307.893510000002</v>
      </c>
      <c r="C22" s="266" t="s">
        <v>66</v>
      </c>
      <c r="D22" s="266"/>
      <c r="E22" s="266"/>
      <c r="F22" s="266"/>
      <c r="G22" s="266"/>
      <c r="H22" s="266"/>
      <c r="I22" s="266"/>
      <c r="J22" s="266"/>
      <c r="K22" s="266"/>
      <c r="L22" s="266"/>
      <c r="M22" s="266"/>
      <c r="N22" s="266"/>
    </row>
    <row r="23" spans="1:14" ht="36" customHeight="1" x14ac:dyDescent="0.25">
      <c r="B23" s="120">
        <f>B18-B20</f>
        <v>12485.454545454544</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1057.6428545454544</v>
      </c>
      <c r="C25" s="266" t="s">
        <v>69</v>
      </c>
      <c r="D25" s="266"/>
      <c r="E25" s="266"/>
      <c r="F25" s="266"/>
      <c r="G25" s="266"/>
      <c r="H25" s="266"/>
      <c r="I25" s="266"/>
      <c r="J25" s="266"/>
      <c r="K25" s="266"/>
      <c r="L25" s="266"/>
      <c r="M25" s="266"/>
      <c r="N25" s="266"/>
    </row>
    <row r="26" spans="1:14" ht="36" customHeight="1" x14ac:dyDescent="0.25">
      <c r="B26" s="122">
        <f>B22+B25</f>
        <v>16365.536364545456</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3</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7000</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23.884</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1" sqref="B11"/>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17678.520197857142</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116</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130.38</v>
      </c>
      <c r="C10" s="272" t="s">
        <v>543</v>
      </c>
      <c r="D10" s="273"/>
      <c r="E10" s="273"/>
      <c r="F10" s="273"/>
      <c r="G10" s="273"/>
      <c r="H10" s="273"/>
      <c r="I10" s="273"/>
      <c r="J10" s="273"/>
      <c r="K10" s="273"/>
      <c r="L10" s="273"/>
      <c r="M10" s="273"/>
      <c r="N10" s="273"/>
      <c r="O10" s="212">
        <f>SUM('2.Heat Targets'!E58,'2.Heat Targets'!E61,'2.Heat Targets'!E64,'2.Heat Targets'!E67)</f>
        <v>0.87219630577199847</v>
      </c>
    </row>
    <row r="11" spans="1:15" ht="42.75" customHeight="1" x14ac:dyDescent="0.25">
      <c r="B11" s="54"/>
      <c r="C11" s="59"/>
      <c r="D11" s="33" t="s">
        <v>58</v>
      </c>
      <c r="E11" s="273" t="s">
        <v>86</v>
      </c>
      <c r="F11" s="273"/>
      <c r="G11" s="273"/>
      <c r="H11" s="273"/>
      <c r="I11" s="273"/>
      <c r="J11" s="273"/>
      <c r="K11" s="273"/>
      <c r="L11" s="273"/>
      <c r="M11" s="273"/>
      <c r="N11" s="273"/>
    </row>
    <row r="12" spans="1:15" ht="42.75" customHeight="1" x14ac:dyDescent="0.25">
      <c r="B12" s="56"/>
      <c r="C12" s="60"/>
      <c r="D12" s="34">
        <v>0.26</v>
      </c>
      <c r="E12" s="273" t="s">
        <v>83</v>
      </c>
      <c r="F12" s="273"/>
      <c r="G12" s="273"/>
      <c r="H12" s="273"/>
      <c r="I12" s="273"/>
      <c r="J12" s="273"/>
      <c r="K12" s="273"/>
      <c r="L12" s="273"/>
      <c r="M12" s="273"/>
      <c r="N12" s="273"/>
    </row>
    <row r="13" spans="1:15" ht="42.75" customHeight="1" x14ac:dyDescent="0.25">
      <c r="B13" s="56"/>
      <c r="C13" s="60"/>
      <c r="D13" s="34">
        <v>0.5</v>
      </c>
      <c r="E13" s="273" t="s">
        <v>84</v>
      </c>
      <c r="F13" s="273"/>
      <c r="G13" s="273"/>
      <c r="H13" s="273"/>
      <c r="I13" s="273"/>
      <c r="J13" s="273"/>
      <c r="K13" s="273"/>
      <c r="L13" s="273"/>
      <c r="M13" s="273"/>
      <c r="N13" s="273"/>
    </row>
    <row r="14" spans="1:15" ht="42.75" customHeight="1" x14ac:dyDescent="0.25">
      <c r="B14" s="56"/>
      <c r="C14" s="60"/>
      <c r="D14" s="34">
        <v>0.2</v>
      </c>
      <c r="E14" s="273" t="s">
        <v>85</v>
      </c>
      <c r="F14" s="273"/>
      <c r="G14" s="273"/>
      <c r="H14" s="273"/>
      <c r="I14" s="273"/>
      <c r="J14" s="273"/>
      <c r="K14" s="273"/>
      <c r="L14" s="273"/>
      <c r="M14" s="273"/>
      <c r="N14" s="273"/>
    </row>
    <row r="15" spans="1:15" ht="42.75" customHeight="1" x14ac:dyDescent="0.25">
      <c r="B15" s="56"/>
      <c r="C15" s="60"/>
      <c r="D15" s="35">
        <v>2.2999999999999998</v>
      </c>
      <c r="E15" s="273" t="s">
        <v>87</v>
      </c>
      <c r="F15" s="273"/>
      <c r="G15" s="273"/>
      <c r="H15" s="273"/>
      <c r="I15" s="273"/>
      <c r="J15" s="273"/>
      <c r="K15" s="273"/>
      <c r="L15" s="273"/>
      <c r="M15" s="273"/>
      <c r="N15" s="273"/>
    </row>
    <row r="16" spans="1:15" ht="42.75" customHeight="1" x14ac:dyDescent="0.25">
      <c r="B16" s="56"/>
      <c r="C16" s="60"/>
      <c r="D16" s="34">
        <f>(20000*1.25)/257000</f>
        <v>9.727626459143969E-2</v>
      </c>
      <c r="E16" s="273" t="s">
        <v>93</v>
      </c>
      <c r="F16" s="273"/>
      <c r="G16" s="273"/>
      <c r="H16" s="273"/>
      <c r="I16" s="273"/>
      <c r="J16" s="273"/>
      <c r="K16" s="273"/>
      <c r="L16" s="273"/>
      <c r="M16" s="273"/>
      <c r="N16" s="273"/>
    </row>
    <row r="17" spans="1:17" x14ac:dyDescent="0.25">
      <c r="B17" s="56"/>
      <c r="C17" s="27"/>
      <c r="F17" s="26"/>
      <c r="G17" s="27"/>
      <c r="H17" s="27"/>
      <c r="I17" s="27"/>
      <c r="J17" s="27"/>
      <c r="K17" s="27"/>
      <c r="L17" s="27"/>
    </row>
    <row r="18" spans="1:17" ht="42.75" customHeight="1" x14ac:dyDescent="0.25">
      <c r="B18" s="55">
        <f>B8*B10</f>
        <v>15124.08</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5</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510.88803957142852</v>
      </c>
      <c r="C24" s="274" t="s">
        <v>541</v>
      </c>
      <c r="D24" s="275"/>
      <c r="E24" s="275"/>
      <c r="F24" s="275"/>
      <c r="G24" s="275"/>
      <c r="H24" s="275"/>
      <c r="I24" s="275"/>
      <c r="J24" s="275"/>
      <c r="K24" s="275"/>
      <c r="L24" s="275"/>
      <c r="M24" s="275"/>
      <c r="N24" s="275"/>
      <c r="O24" s="212">
        <f ca="1">SUM('2.Heat Targets'!E76,'2.Heat Targets'!E79,'2.Heat Targets'!E82,'2.Heat Targets'!E85)</f>
        <v>0.97945048857214867</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0</v>
      </c>
      <c r="L28" s="41">
        <f t="shared" ca="1" si="1"/>
        <v>0</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1</v>
      </c>
      <c r="L29" s="41">
        <f t="shared" ca="1" si="1"/>
        <v>0.2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1</v>
      </c>
      <c r="L32" s="41">
        <f t="shared" ca="1" si="1"/>
        <v>0.2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v>
      </c>
      <c r="L33" s="41">
        <f t="shared" ca="1" si="1"/>
        <v>0.2</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0</v>
      </c>
      <c r="L35" s="41">
        <f t="shared" ca="1" si="1"/>
        <v>0</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0</v>
      </c>
      <c r="L36" s="41">
        <f t="shared" ca="1" si="1"/>
        <v>0</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2</v>
      </c>
      <c r="L40" s="41">
        <f t="shared" ca="1" si="1"/>
        <v>0.4</v>
      </c>
      <c r="Q40" s="23"/>
    </row>
    <row r="41" spans="2:19" ht="33" customHeight="1" x14ac:dyDescent="0.25">
      <c r="B41" s="54"/>
      <c r="D41" s="42"/>
      <c r="E41" s="185">
        <f>SUM(E27:E40)</f>
        <v>18617</v>
      </c>
      <c r="F41" s="185"/>
      <c r="G41" s="185">
        <f>SUM(G27:G40)</f>
        <v>201453</v>
      </c>
      <c r="H41" s="43"/>
      <c r="I41" s="44">
        <v>13000000</v>
      </c>
      <c r="J41" s="43"/>
      <c r="K41" s="185">
        <f ca="1">SUM(K27:K40)</f>
        <v>5</v>
      </c>
      <c r="L41" s="45">
        <f ca="1">SUMPRODUCT(J27:J40,L27:L40)</f>
        <v>510.88803957142852</v>
      </c>
      <c r="M41" s="278" t="s">
        <v>542</v>
      </c>
      <c r="N41" s="279"/>
      <c r="O41" s="279"/>
      <c r="P41" s="279"/>
      <c r="Q41" s="279"/>
      <c r="R41" s="279"/>
      <c r="S41" s="279"/>
    </row>
    <row r="42" spans="2:19" ht="22.5" customHeight="1" x14ac:dyDescent="0.25">
      <c r="B42" s="54"/>
    </row>
    <row r="43" spans="2:19" ht="37.5" customHeight="1" x14ac:dyDescent="0.25">
      <c r="B43" s="55">
        <f ca="1">B22*B24</f>
        <v>2554.4401978571427</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1.4372146259957987E-4</v>
      </c>
      <c r="C45" s="266" t="s">
        <v>489</v>
      </c>
      <c r="D45" s="266"/>
      <c r="E45" s="266"/>
      <c r="F45" s="266"/>
      <c r="G45" s="266"/>
      <c r="H45" s="266"/>
      <c r="I45" s="266"/>
      <c r="J45" s="266"/>
      <c r="K45" s="266"/>
      <c r="L45" s="266"/>
      <c r="M45" s="266"/>
      <c r="N45" s="266"/>
      <c r="O45" s="266"/>
    </row>
    <row r="52" spans="4:4" x14ac:dyDescent="0.25">
      <c r="D52" s="23"/>
    </row>
  </sheetData>
  <mergeCells count="17">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26657.457364341091</v>
      </c>
      <c r="C24" s="129">
        <f>'LEAP Region'!C14*1000</f>
        <v>22349.922480620156</v>
      </c>
      <c r="D24" s="129">
        <f>'LEAP Region'!D14*1000</f>
        <v>18466.852713178294</v>
      </c>
      <c r="E24" s="130">
        <f>'LEAP Region'!E14*1000</f>
        <v>12602.945736434109</v>
      </c>
      <c r="G24" s="301" t="s">
        <v>122</v>
      </c>
      <c r="H24" s="301"/>
      <c r="I24" s="301"/>
      <c r="J24" s="301"/>
      <c r="K24" s="301"/>
      <c r="L24" s="301"/>
      <c r="M24" s="301"/>
      <c r="N24" s="301"/>
    </row>
    <row r="25" spans="2:18" ht="56.25" customHeight="1" x14ac:dyDescent="0.25">
      <c r="B25" s="178">
        <f>('LEAP Region'!B7+'LEAP Region'!B8)*(2.4-1)*1000</f>
        <v>212.75658914728683</v>
      </c>
      <c r="C25" s="179">
        <f>('LEAP Region'!C7+'LEAP Region'!C8)*(2.6-1)*1000</f>
        <v>1140.2914728682174</v>
      </c>
      <c r="D25" s="179">
        <f>('LEAP Region'!D7+'LEAP Region'!D8)*(2.8-1)*1000</f>
        <v>2244.9488372093024</v>
      </c>
      <c r="E25" s="180">
        <f>('LEAP Region'!E7+'LEAP Region'!E8)*(2.3-1)*1000</f>
        <v>2404.7782945736431</v>
      </c>
      <c r="G25" s="301" t="s">
        <v>178</v>
      </c>
      <c r="H25" s="301"/>
      <c r="I25" s="301"/>
      <c r="J25" s="301"/>
      <c r="K25" s="301"/>
      <c r="L25" s="301"/>
      <c r="M25" s="301"/>
      <c r="N25" s="301"/>
    </row>
    <row r="26" spans="2:18" ht="56.25" customHeight="1" x14ac:dyDescent="0.25">
      <c r="B26" s="128">
        <f>'LEAP Region'!H14*1000</f>
        <v>25970.976744186049</v>
      </c>
      <c r="C26" s="129">
        <f>'LEAP Region'!I14*1000</f>
        <v>21202.294573643409</v>
      </c>
      <c r="D26" s="129">
        <f>'LEAP Region'!J14*1000</f>
        <v>16035.348837209305</v>
      </c>
      <c r="E26" s="130">
        <f>'LEAP Region'!K14*1000</f>
        <v>9034.2945736434103</v>
      </c>
      <c r="G26" s="301" t="s">
        <v>123</v>
      </c>
      <c r="H26" s="301"/>
      <c r="I26" s="301"/>
      <c r="J26" s="301"/>
      <c r="K26" s="301"/>
      <c r="L26" s="301"/>
      <c r="M26" s="301"/>
      <c r="N26" s="301"/>
    </row>
    <row r="27" spans="2:18" ht="56.25" customHeight="1" thickBot="1" x14ac:dyDescent="0.3">
      <c r="B27" s="181">
        <f>('LEAP Region'!H7+'LEAP Region'!H8)*(2.4-1)*1000</f>
        <v>286.12093023255812</v>
      </c>
      <c r="C27" s="182">
        <f>('LEAP Region'!I7+'LEAP Region'!I8)*(2.6-1)*1000</f>
        <v>1307.9813953488374</v>
      </c>
      <c r="D27" s="182">
        <f>('LEAP Region'!J7+'LEAP Region'!J8)*(2.8-1)*1000</f>
        <v>2971.2558139534885</v>
      </c>
      <c r="E27" s="183">
        <f>('LEAP Region'!K7+'LEAP Region'!K8)*(3-1)*1000</f>
        <v>4150.3255813953492</v>
      </c>
      <c r="G27" s="301" t="s">
        <v>178</v>
      </c>
      <c r="H27" s="301"/>
      <c r="I27" s="301"/>
      <c r="J27" s="301"/>
      <c r="K27" s="301"/>
      <c r="L27" s="301"/>
      <c r="M27" s="301"/>
      <c r="N27" s="301"/>
    </row>
    <row r="28" spans="2:18" ht="56.25" customHeight="1" thickTop="1" x14ac:dyDescent="0.25">
      <c r="B28" s="128">
        <f>B24+B25-B26-B27</f>
        <v>613.11627906977151</v>
      </c>
      <c r="C28" s="129">
        <f>C24+C25-C26-C27</f>
        <v>979.9379844961295</v>
      </c>
      <c r="D28" s="129">
        <f>D24+D25-D26-D27</f>
        <v>1705.1968992248039</v>
      </c>
      <c r="E28" s="130">
        <f>E24+E25-E26-E27</f>
        <v>1823.1038759689927</v>
      </c>
      <c r="G28" s="301" t="s">
        <v>177</v>
      </c>
      <c r="H28" s="301"/>
      <c r="I28" s="301"/>
      <c r="J28" s="301"/>
      <c r="K28" s="301"/>
      <c r="L28" s="301"/>
      <c r="M28" s="301"/>
      <c r="N28" s="301"/>
    </row>
    <row r="29" spans="2:18" ht="56.25" customHeight="1" x14ac:dyDescent="0.25">
      <c r="B29" s="280">
        <f>0.25*'1.Current Heat'!B10</f>
        <v>32.594999999999999</v>
      </c>
      <c r="C29" s="281"/>
      <c r="D29" s="281"/>
      <c r="E29" s="282"/>
      <c r="G29" s="301" t="s">
        <v>124</v>
      </c>
      <c r="H29" s="301"/>
      <c r="I29" s="301"/>
      <c r="J29" s="301"/>
      <c r="K29" s="301"/>
      <c r="L29" s="301"/>
      <c r="M29" s="301"/>
      <c r="N29" s="301"/>
      <c r="R29">
        <v>60</v>
      </c>
    </row>
    <row r="30" spans="2:18" ht="56.25" customHeight="1" x14ac:dyDescent="0.25">
      <c r="B30" s="128">
        <f>B28/$B$29</f>
        <v>18.810132813921506</v>
      </c>
      <c r="C30" s="129">
        <f>C28/$B$29</f>
        <v>30.064058429088188</v>
      </c>
      <c r="D30" s="129">
        <f>D28/$B$29</f>
        <v>52.314677073931705</v>
      </c>
      <c r="E30" s="130">
        <f>E28/$B$29</f>
        <v>55.932010307378214</v>
      </c>
      <c r="G30" s="301" t="s">
        <v>125</v>
      </c>
      <c r="H30" s="301"/>
      <c r="I30" s="301"/>
      <c r="J30" s="301"/>
      <c r="K30" s="301"/>
      <c r="L30" s="301"/>
      <c r="M30" s="301"/>
      <c r="N30" s="301"/>
      <c r="R30">
        <v>96</v>
      </c>
    </row>
    <row r="31" spans="2:18" ht="56.25" customHeight="1" x14ac:dyDescent="0.25">
      <c r="B31" s="131">
        <f>'1.Current Heat'!B8</f>
        <v>116</v>
      </c>
      <c r="C31" s="132">
        <f t="shared" ref="C31:E31" si="0">B31*1.06</f>
        <v>122.96000000000001</v>
      </c>
      <c r="D31" s="132">
        <f t="shared" si="0"/>
        <v>130.33760000000001</v>
      </c>
      <c r="E31" s="133">
        <f t="shared" si="0"/>
        <v>138.15785600000001</v>
      </c>
      <c r="G31" s="301" t="s">
        <v>126</v>
      </c>
      <c r="H31" s="301"/>
      <c r="I31" s="301"/>
      <c r="J31" s="301"/>
      <c r="K31" s="301"/>
      <c r="L31" s="301"/>
      <c r="M31" s="301"/>
      <c r="N31" s="301"/>
      <c r="O31" s="186">
        <f>(E31/B31)^(1/(E23-B23))-1</f>
        <v>5.006971033976404E-3</v>
      </c>
      <c r="R31">
        <f>R29+R30</f>
        <v>156</v>
      </c>
    </row>
    <row r="32" spans="2:18" ht="56.25" customHeight="1" x14ac:dyDescent="0.25">
      <c r="B32" s="134">
        <f>B30/B31</f>
        <v>0.1621563173613923</v>
      </c>
      <c r="C32" s="135">
        <f>C30/C31</f>
        <v>0.24450275235107505</v>
      </c>
      <c r="D32" s="135">
        <f>D30/D31</f>
        <v>0.40137824445080855</v>
      </c>
      <c r="E32" s="136">
        <f>E30/E31</f>
        <v>0.40484133097272595</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3087.7313228238518</v>
      </c>
      <c r="C37" s="129">
        <f>('LEAP Region'!O11-'LEAP Region'!O6)*1000</f>
        <v>2936.9431117203553</v>
      </c>
      <c r="D37" s="129">
        <f>('LEAP Region'!P11-'LEAP Region'!P6)*1000</f>
        <v>2717.6148046607259</v>
      </c>
      <c r="E37" s="130">
        <f>('LEAP Region'!Q11-'LEAP Region'!Q6)*1000</f>
        <v>2412.6113776559282</v>
      </c>
      <c r="G37" s="301" t="s">
        <v>179</v>
      </c>
      <c r="H37" s="301"/>
      <c r="I37" s="301"/>
      <c r="J37" s="301"/>
      <c r="K37" s="301"/>
      <c r="L37" s="301"/>
      <c r="M37" s="301"/>
      <c r="N37" s="301"/>
    </row>
    <row r="38" spans="2:34" ht="56.25" customHeight="1" x14ac:dyDescent="0.25">
      <c r="B38" s="128">
        <f>'LEAP Region'!N6*1000</f>
        <v>2583.9616175462643</v>
      </c>
      <c r="C38" s="129">
        <f>'LEAP Region'!O6*1000</f>
        <v>2748.4578478409862</v>
      </c>
      <c r="D38" s="129">
        <f>'LEAP Region'!P6*1000</f>
        <v>2868.4030157642219</v>
      </c>
      <c r="E38" s="130">
        <f>'LEAP Region'!Q6*1000</f>
        <v>3122.0013708019187</v>
      </c>
      <c r="F38" s="184"/>
      <c r="G38" s="301" t="s">
        <v>97</v>
      </c>
      <c r="H38" s="301"/>
      <c r="I38" s="301"/>
      <c r="J38" s="301"/>
      <c r="K38" s="301"/>
      <c r="L38" s="301"/>
      <c r="M38" s="301"/>
      <c r="N38" s="301"/>
    </row>
    <row r="39" spans="2:34" ht="56.25" customHeight="1" x14ac:dyDescent="0.25">
      <c r="B39" s="128">
        <f>0.005*B38</f>
        <v>12.919808087731322</v>
      </c>
      <c r="C39" s="129">
        <f>B39-(($B$39-$E$39)/3)</f>
        <v>60.646561571852857</v>
      </c>
      <c r="D39" s="129">
        <f>C39-(($B$39-$E$39)/3)</f>
        <v>108.37331505597439</v>
      </c>
      <c r="E39" s="130">
        <f>0.05*E38</f>
        <v>156.10006854009595</v>
      </c>
      <c r="G39" s="301" t="s">
        <v>195</v>
      </c>
      <c r="H39" s="301"/>
      <c r="I39" s="301"/>
      <c r="J39" s="301"/>
      <c r="K39" s="301"/>
      <c r="L39" s="301"/>
      <c r="M39" s="301"/>
      <c r="N39" s="301"/>
      <c r="V39" s="21"/>
      <c r="W39" s="21"/>
      <c r="X39" s="21"/>
      <c r="Y39" s="21"/>
      <c r="AH39" s="21"/>
    </row>
    <row r="40" spans="2:34" ht="56.25" customHeight="1" x14ac:dyDescent="0.25">
      <c r="B40" s="142">
        <f>B39*(2.4-1)</f>
        <v>18.087731322823849</v>
      </c>
      <c r="C40" s="143">
        <f>C39*(2.6-1)</f>
        <v>97.034498514964582</v>
      </c>
      <c r="D40" s="143">
        <f>D39*(2.8-1)</f>
        <v>195.07196710075388</v>
      </c>
      <c r="E40" s="144">
        <f>E39*(3-1)</f>
        <v>312.20013708019189</v>
      </c>
      <c r="G40" s="301" t="s">
        <v>196</v>
      </c>
      <c r="H40" s="301"/>
      <c r="I40" s="301"/>
      <c r="J40" s="301"/>
      <c r="K40" s="301"/>
      <c r="L40" s="301"/>
      <c r="M40" s="301"/>
      <c r="N40" s="301"/>
      <c r="V40" s="21"/>
      <c r="W40" s="21"/>
      <c r="X40" s="21"/>
      <c r="Y40" s="21"/>
      <c r="AH40" s="21"/>
    </row>
    <row r="41" spans="2:34" ht="56.25" customHeight="1" x14ac:dyDescent="0.25">
      <c r="B41" s="128">
        <f>('LEAP Region'!T11-'LEAP Region'!T6)*1000</f>
        <v>3077.450308430432</v>
      </c>
      <c r="C41" s="129">
        <f>('LEAP Region'!U11-'LEAP Region'!U6)*1000</f>
        <v>2861.5490061686078</v>
      </c>
      <c r="D41" s="129">
        <f>('LEAP Region'!V11-'LEAP Region'!V6)*1000</f>
        <v>2573.680603152844</v>
      </c>
      <c r="E41" s="130">
        <f>('LEAP Region'!W11-'LEAP Region'!W6)*1000</f>
        <v>2159.0130226182314</v>
      </c>
      <c r="G41" s="301" t="s">
        <v>197</v>
      </c>
      <c r="H41" s="301"/>
      <c r="I41" s="301"/>
      <c r="J41" s="301"/>
      <c r="K41" s="301"/>
      <c r="L41" s="301"/>
      <c r="M41" s="301"/>
      <c r="N41" s="301"/>
      <c r="AH41" s="21"/>
    </row>
    <row r="42" spans="2:34" ht="56.25" customHeight="1" x14ac:dyDescent="0.25">
      <c r="B42" s="128">
        <f>'LEAP Region'!T6*1000</f>
        <v>2549.6915695681973</v>
      </c>
      <c r="C42" s="129">
        <f>'LEAP Region'!U6*1000</f>
        <v>2525.7025359835498</v>
      </c>
      <c r="D42" s="129">
        <f>'LEAP Region'!V6*1000</f>
        <v>2446.8814256339956</v>
      </c>
      <c r="E42" s="130">
        <f>'LEAP Region'!W6*1000</f>
        <v>2371.4873200822481</v>
      </c>
      <c r="G42" s="301" t="s">
        <v>98</v>
      </c>
      <c r="H42" s="301"/>
      <c r="I42" s="301"/>
      <c r="J42" s="301"/>
      <c r="K42" s="301"/>
      <c r="L42" s="301"/>
      <c r="M42" s="301"/>
      <c r="N42" s="301"/>
      <c r="V42" s="29"/>
      <c r="W42" s="29"/>
      <c r="X42" s="29"/>
      <c r="Y42" s="29"/>
      <c r="AH42" s="21"/>
    </row>
    <row r="43" spans="2:34" ht="56.25" customHeight="1" x14ac:dyDescent="0.25">
      <c r="B43" s="128">
        <f>B39</f>
        <v>12.919808087731322</v>
      </c>
      <c r="C43" s="129">
        <f>B43-(($B$43-$E$43)/3)</f>
        <v>72.781966339197282</v>
      </c>
      <c r="D43" s="129">
        <f>C43-(($B$43-$E$43)/3)</f>
        <v>132.64412459066324</v>
      </c>
      <c r="E43" s="130">
        <f>0.8*((E37+E39+E40-E41)/3)</f>
        <v>192.5062828421292</v>
      </c>
      <c r="G43" s="301" t="s">
        <v>142</v>
      </c>
      <c r="H43" s="301"/>
      <c r="I43" s="301"/>
      <c r="J43" s="301"/>
      <c r="K43" s="301"/>
      <c r="L43" s="301"/>
      <c r="M43" s="301"/>
      <c r="N43" s="301"/>
      <c r="AH43" s="21"/>
    </row>
    <row r="44" spans="2:34" ht="56.25" customHeight="1" x14ac:dyDescent="0.25">
      <c r="B44" s="128">
        <f>B43*(2.4-1)</f>
        <v>18.087731322823849</v>
      </c>
      <c r="C44" s="129">
        <f>C43*(2.6-1)</f>
        <v>116.45114614271566</v>
      </c>
      <c r="D44" s="129">
        <f>D43*(2.8-1)</f>
        <v>238.75942426319381</v>
      </c>
      <c r="E44" s="130">
        <f>E43*(3-1)</f>
        <v>385.01256568425839</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10.28101439341982</v>
      </c>
      <c r="C45" s="129">
        <f>C37+C39+C40-C41-C43-C44</f>
        <v>43.842053156652128</v>
      </c>
      <c r="D45" s="129">
        <f>D37+D39+D40-D41-D43-D44</f>
        <v>75.975934810752733</v>
      </c>
      <c r="E45" s="130">
        <f>E37+E39+E40-E41-E43-E44</f>
        <v>144.37971213159693</v>
      </c>
      <c r="F45" s="92"/>
      <c r="G45" s="301" t="s">
        <v>149</v>
      </c>
      <c r="H45" s="301"/>
      <c r="I45" s="301"/>
      <c r="J45" s="301"/>
      <c r="K45" s="301"/>
      <c r="L45" s="301"/>
      <c r="M45" s="301"/>
      <c r="N45" s="301"/>
      <c r="R45">
        <v>6</v>
      </c>
      <c r="AH45" s="21"/>
    </row>
    <row r="46" spans="2:34" ht="56.25" customHeight="1" x14ac:dyDescent="0.25">
      <c r="B46" s="283">
        <f ca="1">0.2*'1.Current Heat'!B24</f>
        <v>102.17760791428572</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0.10061905542009078</v>
      </c>
      <c r="C47" s="129">
        <f ca="1">C45/$B$46</f>
        <v>0.42907691862810243</v>
      </c>
      <c r="D47" s="129">
        <f ca="1">D45/$B$46</f>
        <v>0.74356736629112596</v>
      </c>
      <c r="E47" s="130">
        <f ca="1">E45/$B$46</f>
        <v>1.4130269349495197</v>
      </c>
      <c r="G47" s="301" t="s">
        <v>128</v>
      </c>
      <c r="H47" s="301"/>
      <c r="I47" s="301"/>
      <c r="J47" s="301"/>
      <c r="K47" s="301"/>
      <c r="L47" s="301"/>
      <c r="M47" s="301"/>
      <c r="N47" s="301"/>
    </row>
    <row r="48" spans="2:34" ht="56.25" customHeight="1" x14ac:dyDescent="0.25">
      <c r="B48" s="131">
        <f ca="1">'1.Current Heat'!B22</f>
        <v>5</v>
      </c>
      <c r="C48" s="132">
        <f t="shared" ref="C48:E48" ca="1" si="1">B48*1.06</f>
        <v>5.3000000000000007</v>
      </c>
      <c r="D48" s="132">
        <f t="shared" ca="1" si="1"/>
        <v>5.6180000000000012</v>
      </c>
      <c r="E48" s="133">
        <f t="shared" ca="1" si="1"/>
        <v>5.9550800000000015</v>
      </c>
      <c r="G48" s="301" t="s">
        <v>194</v>
      </c>
      <c r="H48" s="301"/>
      <c r="I48" s="301"/>
      <c r="J48" s="301"/>
      <c r="K48" s="301"/>
      <c r="L48" s="301"/>
      <c r="M48" s="301"/>
      <c r="N48" s="301"/>
      <c r="O48" s="186">
        <f ca="1">(E48/B48)^(1/(E36-B36))-1</f>
        <v>5.006971033976404E-3</v>
      </c>
    </row>
    <row r="49" spans="1:14" ht="56.25" customHeight="1" x14ac:dyDescent="0.25">
      <c r="B49" s="134">
        <f ca="1">B47/B48</f>
        <v>2.0123811084018155E-2</v>
      </c>
      <c r="C49" s="135">
        <f ca="1">C47/C48</f>
        <v>8.0957909175113654E-2</v>
      </c>
      <c r="D49" s="135">
        <f ca="1">D47/D48</f>
        <v>0.13235446178197327</v>
      </c>
      <c r="E49" s="136">
        <f ca="1">E47/E48</f>
        <v>0.23728093240552928</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130.38</v>
      </c>
      <c r="C54" s="147">
        <f>C32*($B$54-$B$29)+(1-C32)*$B$54</f>
        <v>122.41043278711672</v>
      </c>
      <c r="D54" s="147">
        <f>D32*($B$54-$B$29)+(1-D32)*$B$54</f>
        <v>117.2970761221259</v>
      </c>
      <c r="E54" s="148">
        <f>E32*($B$54-$B$29)+(1-E32)*$B$54</f>
        <v>117.184196816944</v>
      </c>
      <c r="F54" s="1"/>
      <c r="G54" s="301" t="s">
        <v>109</v>
      </c>
      <c r="H54" s="301"/>
      <c r="I54" s="301"/>
      <c r="J54" s="301"/>
      <c r="K54" s="301"/>
      <c r="L54" s="301"/>
      <c r="M54" s="301"/>
      <c r="N54" s="301"/>
    </row>
    <row r="55" spans="1:14" ht="56.25" customHeight="1" x14ac:dyDescent="0.25">
      <c r="B55" s="149">
        <f>('LEAP Region'!H4+'LEAP Region'!H9+'LEAP Region'!H12)*1000</f>
        <v>9579.2868217054274</v>
      </c>
      <c r="C55" s="150">
        <f>('LEAP Region'!I4+'LEAP Region'!I9+'LEAP Region'!I12)*1000</f>
        <v>6953.8914728682175</v>
      </c>
      <c r="D55" s="150">
        <f>('LEAP Region'!J4+'LEAP Region'!J9+'LEAP Region'!J12)*1000</f>
        <v>4422.8217054263569</v>
      </c>
      <c r="E55" s="151">
        <f>('LEAP Region'!K4+'LEAP Region'!K9+'LEAP Region'!K12)*1000</f>
        <v>665.51937984496135</v>
      </c>
      <c r="G55" s="301" t="s">
        <v>110</v>
      </c>
      <c r="H55" s="301"/>
      <c r="I55" s="301"/>
      <c r="J55" s="301"/>
      <c r="K55" s="301"/>
      <c r="L55" s="301"/>
      <c r="M55" s="301"/>
      <c r="N55" s="301"/>
    </row>
    <row r="56" spans="1:14" ht="56.25" customHeight="1" x14ac:dyDescent="0.25">
      <c r="B56" s="152">
        <f>'LEAP Region'!H4*1000/'2.Heat Targets'!B55</f>
        <v>7.6586433260393879E-3</v>
      </c>
      <c r="C56" s="153">
        <f>'LEAP Region'!I4*1000/'2.Heat Targets'!C55</f>
        <v>3.7678975131876409E-2</v>
      </c>
      <c r="D56" s="153">
        <f>'LEAP Region'!J4*1000/'2.Heat Targets'!D55</f>
        <v>9.7156398104265407E-2</v>
      </c>
      <c r="E56" s="154">
        <f>'LEAP Region'!K4*1000/'2.Heat Targets'!E55</f>
        <v>1</v>
      </c>
      <c r="G56" s="301" t="s">
        <v>137</v>
      </c>
      <c r="H56" s="301"/>
      <c r="I56" s="301"/>
      <c r="J56" s="301"/>
      <c r="K56" s="301"/>
      <c r="L56" s="301"/>
      <c r="M56" s="301"/>
      <c r="N56" s="301"/>
    </row>
    <row r="57" spans="1:14" ht="56.25" customHeight="1" x14ac:dyDescent="0.25">
      <c r="B57" s="128">
        <f>B55/B54</f>
        <v>73.47205723044506</v>
      </c>
      <c r="C57" s="129">
        <f>C55/C54</f>
        <v>56.807996790287397</v>
      </c>
      <c r="D57" s="129">
        <f>D55/D54</f>
        <v>37.706154762301651</v>
      </c>
      <c r="E57" s="130">
        <f>E55/E54</f>
        <v>5.6792587901983387</v>
      </c>
      <c r="G57" s="301" t="s">
        <v>111</v>
      </c>
      <c r="H57" s="301"/>
      <c r="I57" s="301"/>
      <c r="J57" s="301"/>
      <c r="K57" s="301"/>
      <c r="L57" s="301"/>
      <c r="M57" s="301"/>
      <c r="N57" s="301"/>
    </row>
    <row r="58" spans="1:14" ht="56.25" customHeight="1" x14ac:dyDescent="0.25">
      <c r="B58" s="134">
        <f>B57/B31</f>
        <v>0.63337980371073332</v>
      </c>
      <c r="C58" s="135">
        <f>C57/C31</f>
        <v>0.46200387760480965</v>
      </c>
      <c r="D58" s="135">
        <f>D57/D31</f>
        <v>0.28929606469891767</v>
      </c>
      <c r="E58" s="136">
        <f>E57/E31</f>
        <v>4.1107027530872642E-2</v>
      </c>
      <c r="G58" s="301" t="s">
        <v>130</v>
      </c>
      <c r="H58" s="301"/>
      <c r="I58" s="301"/>
      <c r="J58" s="301"/>
      <c r="K58" s="301"/>
      <c r="L58" s="301"/>
      <c r="M58" s="301"/>
      <c r="N58" s="301"/>
    </row>
    <row r="59" spans="1:14" ht="56.25" customHeight="1" x14ac:dyDescent="0.25">
      <c r="B59" s="149">
        <f>('LEAP Region'!H5+'LEAP Region'!H13)*1000</f>
        <v>11397.674418604653</v>
      </c>
      <c r="C59" s="150">
        <f>('LEAP Region'!I5+'LEAP Region'!I13)*1000</f>
        <v>9553.0852713178301</v>
      </c>
      <c r="D59" s="150">
        <f>('LEAP Region'!J5+'LEAP Region'!J13)*1000</f>
        <v>7572.2480620155047</v>
      </c>
      <c r="E59" s="151">
        <f>('LEAP Region'!K5+'LEAP Region'!K13)*1000</f>
        <v>5481.364341085271</v>
      </c>
      <c r="G59" s="301" t="s">
        <v>112</v>
      </c>
      <c r="H59" s="301"/>
      <c r="I59" s="301"/>
      <c r="J59" s="301"/>
      <c r="K59" s="301"/>
      <c r="L59" s="301"/>
      <c r="M59" s="301"/>
      <c r="N59" s="301"/>
    </row>
    <row r="60" spans="1:14" ht="56.25" customHeight="1" x14ac:dyDescent="0.25">
      <c r="A60" s="2"/>
      <c r="B60" s="128">
        <f>B59/B54</f>
        <v>87.418886474955158</v>
      </c>
      <c r="C60" s="129">
        <f>C59/C54</f>
        <v>78.041430405948702</v>
      </c>
      <c r="D60" s="129">
        <f>D59/D54</f>
        <v>64.55615359185532</v>
      </c>
      <c r="E60" s="130">
        <f>E59/E54</f>
        <v>46.775627516121737</v>
      </c>
      <c r="G60" s="301" t="s">
        <v>140</v>
      </c>
      <c r="H60" s="301"/>
      <c r="I60" s="301"/>
      <c r="J60" s="301"/>
      <c r="K60" s="301"/>
      <c r="L60" s="301"/>
      <c r="M60" s="301"/>
      <c r="N60" s="301"/>
    </row>
    <row r="61" spans="1:14" ht="56.25" customHeight="1" x14ac:dyDescent="0.25">
      <c r="B61" s="134">
        <f>B60/B31</f>
        <v>0.75361109030133755</v>
      </c>
      <c r="C61" s="135">
        <f>C60/C31</f>
        <v>0.63468957714662244</v>
      </c>
      <c r="D61" s="135">
        <f>D60/D31</f>
        <v>0.49529954204968724</v>
      </c>
      <c r="E61" s="136">
        <f>E60/E31</f>
        <v>0.33856654171096673</v>
      </c>
      <c r="G61" s="301" t="s">
        <v>131</v>
      </c>
      <c r="H61" s="301"/>
      <c r="I61" s="301"/>
      <c r="J61" s="301"/>
      <c r="K61" s="301"/>
      <c r="L61" s="301"/>
      <c r="M61" s="301"/>
      <c r="N61" s="301"/>
    </row>
    <row r="62" spans="1:14" ht="56.25" customHeight="1" x14ac:dyDescent="0.25">
      <c r="B62" s="149">
        <f>('LEAP Region'!H7+'LEAP Region'!H8)*1000</f>
        <v>204.37209302325581</v>
      </c>
      <c r="C62" s="150">
        <f>('LEAP Region'!I7+'LEAP Region'!I8)*1000</f>
        <v>817.48837209302326</v>
      </c>
      <c r="D62" s="150">
        <f>('LEAP Region'!J7+'LEAP Region'!J8)*1000</f>
        <v>1650.6976744186047</v>
      </c>
      <c r="E62" s="151">
        <f>('LEAP Region'!K7+'LEAP Region'!K8)*1000</f>
        <v>2075.1627906976746</v>
      </c>
      <c r="G62" s="301" t="s">
        <v>113</v>
      </c>
      <c r="H62" s="301"/>
      <c r="I62" s="301"/>
      <c r="J62" s="301"/>
      <c r="K62" s="301"/>
      <c r="L62" s="301"/>
      <c r="M62" s="301"/>
      <c r="N62" s="301"/>
    </row>
    <row r="63" spans="1:14" ht="56.25" customHeight="1" x14ac:dyDescent="0.25">
      <c r="B63" s="128">
        <f>B62/((0.7*B54)/2.4)</f>
        <v>5.3743236611203953</v>
      </c>
      <c r="C63" s="129">
        <f>C62/((0.75*C54)/2.6)</f>
        <v>23.151292135785546</v>
      </c>
      <c r="D63" s="129">
        <f>D62/((0.8*D54)/2.8)</f>
        <v>49.254781546726974</v>
      </c>
      <c r="E63" s="130">
        <f>E62/((0.85*E54)/3)</f>
        <v>62.500782239514827</v>
      </c>
      <c r="F63" s="91"/>
      <c r="G63" s="301" t="s">
        <v>180</v>
      </c>
      <c r="H63" s="301"/>
      <c r="I63" s="301"/>
      <c r="J63" s="301"/>
      <c r="K63" s="301"/>
      <c r="L63" s="301"/>
      <c r="M63" s="301"/>
      <c r="N63" s="301"/>
    </row>
    <row r="64" spans="1:14" ht="56.25" customHeight="1" x14ac:dyDescent="0.25">
      <c r="B64" s="134">
        <f>B63/B31</f>
        <v>4.6330376388968926E-2</v>
      </c>
      <c r="C64" s="135">
        <f>C63/C31</f>
        <v>0.18828311756494426</v>
      </c>
      <c r="D64" s="135">
        <f>D63/D31</f>
        <v>0.37790155370919037</v>
      </c>
      <c r="E64" s="136">
        <f>E63/E31</f>
        <v>0.452386741145685</v>
      </c>
      <c r="G64" s="301" t="s">
        <v>114</v>
      </c>
      <c r="H64" s="301"/>
      <c r="I64" s="301"/>
      <c r="J64" s="301"/>
      <c r="K64" s="301"/>
      <c r="L64" s="301"/>
      <c r="M64" s="301"/>
      <c r="N64" s="301"/>
    </row>
    <row r="65" spans="1:20" ht="56.25" customHeight="1" x14ac:dyDescent="0.25">
      <c r="B65" s="149">
        <f>('LEAP Region'!H10+'LEAP Region'!H11)*1000</f>
        <v>3704.8992248062018</v>
      </c>
      <c r="C65" s="150">
        <f>('LEAP Region'!I10+'LEAP Region'!I11)*1000</f>
        <v>2897.8914728682175</v>
      </c>
      <c r="D65" s="150">
        <f>('LEAP Region'!J10+'LEAP Region'!J11)*1000</f>
        <v>1855.0697674418607</v>
      </c>
      <c r="E65" s="151">
        <f>('LEAP Region'!K10+'LEAP Region'!K11)*1000</f>
        <v>649.79844961240315</v>
      </c>
      <c r="G65" s="301" t="s">
        <v>115</v>
      </c>
      <c r="H65" s="301"/>
      <c r="I65" s="301"/>
      <c r="J65" s="301"/>
      <c r="K65" s="301"/>
      <c r="L65" s="301"/>
      <c r="M65" s="301"/>
      <c r="N65" s="301"/>
    </row>
    <row r="66" spans="1:20" ht="56.25" customHeight="1" x14ac:dyDescent="0.25">
      <c r="B66" s="128">
        <f>B65/B54</f>
        <v>28.416162178295767</v>
      </c>
      <c r="C66" s="129">
        <f>C65/C54</f>
        <v>23.673566107783671</v>
      </c>
      <c r="D66" s="129">
        <f>D65/D54</f>
        <v>15.815140741534107</v>
      </c>
      <c r="E66" s="130">
        <f>E65/E54</f>
        <v>5.5451030707448341</v>
      </c>
      <c r="G66" s="301" t="s">
        <v>146</v>
      </c>
      <c r="H66" s="301"/>
      <c r="I66" s="301"/>
      <c r="J66" s="301"/>
      <c r="K66" s="301"/>
      <c r="L66" s="301"/>
      <c r="M66" s="301"/>
      <c r="N66" s="301"/>
    </row>
    <row r="67" spans="1:20" ht="56.25" customHeight="1" x14ac:dyDescent="0.25">
      <c r="A67" s="21"/>
      <c r="B67" s="134">
        <f>B66/B31</f>
        <v>0.24496691533013593</v>
      </c>
      <c r="C67" s="135">
        <f>C66/C31</f>
        <v>0.1925306287230292</v>
      </c>
      <c r="D67" s="135">
        <f>D66/D31</f>
        <v>0.12133981860594414</v>
      </c>
      <c r="E67" s="136">
        <f>E66/E31</f>
        <v>4.0135995384474071E-2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510.88803957142852</v>
      </c>
      <c r="C72" s="156">
        <f ca="1">C49*($B$72-$B$46)+(1-C49)*$B$72</f>
        <v>502.61595407017342</v>
      </c>
      <c r="D72" s="156">
        <f ca="1">D49*($B$72-$B$46)+(1-D49)*$B$72</f>
        <v>497.36437726976374</v>
      </c>
      <c r="E72" s="157">
        <f ca="1">E49*($B$72-$B$46)+(1-E49)*$B$72</f>
        <v>486.64324149456024</v>
      </c>
      <c r="G72" s="302" t="s">
        <v>134</v>
      </c>
      <c r="H72" s="302"/>
      <c r="I72" s="302"/>
      <c r="J72" s="302"/>
      <c r="K72" s="302"/>
      <c r="L72" s="302"/>
      <c r="M72" s="302"/>
      <c r="N72" s="302"/>
    </row>
    <row r="73" spans="1:20" ht="56.25" customHeight="1" x14ac:dyDescent="0.25">
      <c r="B73" s="149">
        <f>('LEAP Region'!T4+'LEAP Region'!T5+'LEAP Region'!T9)*1000</f>
        <v>1569.5681973954763</v>
      </c>
      <c r="C73" s="150">
        <f>('LEAP Region'!U4+'LEAP Region'!U5+'LEAP Region'!U9)*1000</f>
        <v>1315.969842357779</v>
      </c>
      <c r="D73" s="150">
        <f>('LEAP Region'!V4+'LEAP Region'!V5+'LEAP Region'!V9)*1000</f>
        <v>1021.2474297464014</v>
      </c>
      <c r="E73" s="151">
        <f>('LEAP Region'!W4+'LEAP Region'!W5+'LEAP Region'!W9)*1000</f>
        <v>565.45579163810817</v>
      </c>
      <c r="G73" s="301" t="s">
        <v>133</v>
      </c>
      <c r="H73" s="301"/>
      <c r="I73" s="301"/>
      <c r="J73" s="301"/>
      <c r="K73" s="301"/>
      <c r="L73" s="301"/>
      <c r="M73" s="301"/>
      <c r="N73" s="301"/>
    </row>
    <row r="74" spans="1:20" ht="56.25" customHeight="1" x14ac:dyDescent="0.25">
      <c r="B74" s="158">
        <f ca="1">com_share_state_target*'LEAP Statewide'!T4*1000/'2.Heat Targets'!B73</f>
        <v>3.7725817004501424E-3</v>
      </c>
      <c r="C74" s="145">
        <f ca="1">com_share_state_target*'LEAP Statewide'!U4*1000/'2.Heat Targets'!C73</f>
        <v>2.8133356535982264E-2</v>
      </c>
      <c r="D74" s="145">
        <f ca="1">com_share_state_target*'LEAP Statewide'!V4*1000/'2.Heat Targets'!D73</f>
        <v>6.8015429807863084E-2</v>
      </c>
      <c r="E74" s="159">
        <f ca="1">com_share_state_target*'LEAP Statewide'!W4*1000/'2.Heat Targets'!E73</f>
        <v>0.21843303541071177</v>
      </c>
      <c r="G74" s="301" t="s">
        <v>136</v>
      </c>
      <c r="H74" s="301"/>
      <c r="I74" s="301"/>
      <c r="J74" s="301"/>
      <c r="K74" s="301"/>
      <c r="L74" s="301"/>
      <c r="M74" s="301"/>
      <c r="N74" s="301"/>
    </row>
    <row r="75" spans="1:20" ht="56.25" customHeight="1" x14ac:dyDescent="0.25">
      <c r="B75" s="128">
        <f ca="1">B73/B72</f>
        <v>3.0722351588268708</v>
      </c>
      <c r="C75" s="129">
        <f ca="1">C73/C72</f>
        <v>2.6182412868136855</v>
      </c>
      <c r="D75" s="129">
        <f ca="1">D73/D72</f>
        <v>2.0533184048130786</v>
      </c>
      <c r="E75" s="130">
        <f ca="1">E73/E72</f>
        <v>1.1619513915399335</v>
      </c>
      <c r="G75" s="301" t="s">
        <v>135</v>
      </c>
      <c r="H75" s="301"/>
      <c r="I75" s="301"/>
      <c r="J75" s="301"/>
      <c r="K75" s="301"/>
      <c r="L75" s="301"/>
      <c r="M75" s="301"/>
      <c r="N75" s="301"/>
    </row>
    <row r="76" spans="1:20" ht="56.25" customHeight="1" x14ac:dyDescent="0.25">
      <c r="B76" s="134">
        <f ca="1">B75/B48</f>
        <v>0.61444703176537419</v>
      </c>
      <c r="C76" s="135">
        <f ca="1">C75/C48</f>
        <v>0.49400778996484623</v>
      </c>
      <c r="D76" s="135">
        <f ca="1">D75/D48</f>
        <v>0.36548921409987151</v>
      </c>
      <c r="E76" s="136">
        <f ca="1">E75/E48</f>
        <v>0.19511935885662884</v>
      </c>
      <c r="G76" s="301" t="s">
        <v>181</v>
      </c>
      <c r="H76" s="301"/>
      <c r="I76" s="301"/>
      <c r="J76" s="301"/>
      <c r="K76" s="301"/>
      <c r="L76" s="301"/>
      <c r="M76" s="301"/>
      <c r="N76" s="301"/>
    </row>
    <row r="77" spans="1:20" ht="56.25" customHeight="1" x14ac:dyDescent="0.25">
      <c r="B77" s="128">
        <f>'LEAP Region'!T10*1000</f>
        <v>483.20767649074702</v>
      </c>
      <c r="C77" s="129">
        <f>'LEAP Region'!U10*1000</f>
        <v>661.41192597669624</v>
      </c>
      <c r="D77" s="129">
        <f>'LEAP Region'!V10*1000</f>
        <v>836.1891706648388</v>
      </c>
      <c r="E77" s="130">
        <f>'LEAP Region'!W10*1000</f>
        <v>1137.76559287183</v>
      </c>
      <c r="G77" s="301" t="s">
        <v>138</v>
      </c>
      <c r="H77" s="301"/>
      <c r="I77" s="301"/>
      <c r="J77" s="301"/>
      <c r="K77" s="301"/>
      <c r="L77" s="301"/>
      <c r="M77" s="301"/>
      <c r="N77" s="301"/>
    </row>
    <row r="78" spans="1:20" ht="56.25" customHeight="1" x14ac:dyDescent="0.25">
      <c r="B78" s="128">
        <f ca="1">B77/B72</f>
        <v>0.94581912094888365</v>
      </c>
      <c r="C78" s="129">
        <f ca="1">C77/C72</f>
        <v>1.3159389800912533</v>
      </c>
      <c r="D78" s="129">
        <f ca="1">D77/D72</f>
        <v>1.6812405730684268</v>
      </c>
      <c r="E78" s="130">
        <f ca="1">E77/E72</f>
        <v>2.3379870423712608</v>
      </c>
      <c r="G78" s="301" t="s">
        <v>139</v>
      </c>
      <c r="H78" s="301"/>
      <c r="I78" s="301"/>
      <c r="J78" s="301"/>
      <c r="K78" s="301"/>
      <c r="L78" s="301"/>
      <c r="M78" s="301"/>
      <c r="N78" s="301"/>
    </row>
    <row r="79" spans="1:20" ht="56.25" customHeight="1" x14ac:dyDescent="0.25">
      <c r="B79" s="134">
        <f ca="1">B78/B48</f>
        <v>0.18916382418977673</v>
      </c>
      <c r="C79" s="135">
        <f ca="1">C78/C48</f>
        <v>0.24829037360212322</v>
      </c>
      <c r="D79" s="135">
        <f ca="1">D78/D48</f>
        <v>0.29925962496768005</v>
      </c>
      <c r="E79" s="136">
        <f ca="1">E78/E48</f>
        <v>0.3926038008509139</v>
      </c>
      <c r="G79" s="301" t="s">
        <v>141</v>
      </c>
      <c r="H79" s="301"/>
      <c r="I79" s="301"/>
      <c r="J79" s="301"/>
      <c r="K79" s="301"/>
      <c r="L79" s="301"/>
      <c r="M79" s="301"/>
      <c r="N79" s="301"/>
    </row>
    <row r="80" spans="1:20" ht="56.25" customHeight="1" x14ac:dyDescent="0.25">
      <c r="B80" s="149">
        <f>B43</f>
        <v>12.919808087731322</v>
      </c>
      <c r="C80" s="150">
        <f>C43</f>
        <v>72.781966339197282</v>
      </c>
      <c r="D80" s="150">
        <f>D43</f>
        <v>132.64412459066324</v>
      </c>
      <c r="E80" s="151">
        <f>E43</f>
        <v>192.5062828421292</v>
      </c>
      <c r="G80" s="301" t="s">
        <v>142</v>
      </c>
      <c r="H80" s="301"/>
      <c r="I80" s="301"/>
      <c r="J80" s="301"/>
      <c r="K80" s="301"/>
      <c r="L80" s="301"/>
      <c r="M80" s="301"/>
      <c r="N80" s="301"/>
    </row>
    <row r="81" spans="2:14" ht="56.25" customHeight="1" x14ac:dyDescent="0.25">
      <c r="B81" s="128">
        <f ca="1">B80/((0.7*B72)/2.4)</f>
        <v>8.6704877470572456E-2</v>
      </c>
      <c r="C81" s="129">
        <f ca="1">C80/((0.75*C72)/2.6)</f>
        <v>0.50199524030095521</v>
      </c>
      <c r="D81" s="129">
        <f ca="1">D80/((0.8*D72)/2.8)</f>
        <v>0.93342920660261908</v>
      </c>
      <c r="E81" s="130">
        <f ca="1">E80/((0.85*E72)/3)</f>
        <v>1.3961643386973941</v>
      </c>
      <c r="G81" s="301" t="s">
        <v>143</v>
      </c>
      <c r="H81" s="301"/>
      <c r="I81" s="301"/>
      <c r="J81" s="301"/>
      <c r="K81" s="301"/>
      <c r="L81" s="301"/>
      <c r="M81" s="301"/>
      <c r="N81" s="301"/>
    </row>
    <row r="82" spans="2:14" ht="56.25" customHeight="1" x14ac:dyDescent="0.25">
      <c r="B82" s="134">
        <f ca="1">B81/B48</f>
        <v>1.734097549411449E-2</v>
      </c>
      <c r="C82" s="135">
        <f ca="1">C81/C48</f>
        <v>9.4716083075651908E-2</v>
      </c>
      <c r="D82" s="135">
        <f ca="1">D81/D48</f>
        <v>0.16614973417632944</v>
      </c>
      <c r="E82" s="136">
        <f ca="1">E81/E48</f>
        <v>0.23444930021047472</v>
      </c>
      <c r="G82" s="301" t="s">
        <v>144</v>
      </c>
      <c r="H82" s="301"/>
      <c r="I82" s="301"/>
      <c r="J82" s="301"/>
      <c r="K82" s="301"/>
      <c r="L82" s="301"/>
      <c r="M82" s="301"/>
      <c r="N82" s="301"/>
    </row>
    <row r="83" spans="2:14" ht="56.25" customHeight="1" x14ac:dyDescent="0.25">
      <c r="B83" s="149">
        <f>('LEAP Region'!T7+'LEAP Region'!T8)*1000</f>
        <v>1024.6744345442082</v>
      </c>
      <c r="C83" s="150">
        <f>('LEAP Region'!U7+'LEAP Region'!U8)*1000</f>
        <v>884.16723783413283</v>
      </c>
      <c r="D83" s="150">
        <f>('LEAP Region'!V7+'LEAP Region'!V8)*1000</f>
        <v>716.24400274160371</v>
      </c>
      <c r="E83" s="151">
        <f>('LEAP Region'!W7+'LEAP Region'!W8)*1000</f>
        <v>455.79163810829334</v>
      </c>
      <c r="G83" s="301" t="s">
        <v>145</v>
      </c>
      <c r="H83" s="301"/>
      <c r="I83" s="301"/>
      <c r="J83" s="301"/>
      <c r="K83" s="301"/>
      <c r="L83" s="301"/>
      <c r="M83" s="301"/>
      <c r="N83" s="301"/>
    </row>
    <row r="84" spans="2:14" ht="56.25" customHeight="1" x14ac:dyDescent="0.25">
      <c r="B84" s="128">
        <f ca="1">B83/B72</f>
        <v>2.005673171373874</v>
      </c>
      <c r="C84" s="129">
        <f ca="1">C83/C72</f>
        <v>1.7591308645779449</v>
      </c>
      <c r="D84" s="129">
        <f ca="1">D83/D72</f>
        <v>1.4400790154561525</v>
      </c>
      <c r="E84" s="130">
        <f ca="1">E83/E72</f>
        <v>0.93660324287764352</v>
      </c>
      <c r="G84" s="301" t="s">
        <v>147</v>
      </c>
      <c r="H84" s="301"/>
      <c r="I84" s="301"/>
      <c r="J84" s="301"/>
      <c r="K84" s="301"/>
      <c r="L84" s="301"/>
      <c r="M84" s="301"/>
      <c r="N84" s="301"/>
    </row>
    <row r="85" spans="2:14" ht="56.25" customHeight="1" x14ac:dyDescent="0.25">
      <c r="B85" s="134">
        <f ca="1">B84/B48</f>
        <v>0.4011346342747748</v>
      </c>
      <c r="C85" s="135">
        <f ca="1">C84/C48</f>
        <v>0.33191148388263109</v>
      </c>
      <c r="D85" s="135">
        <f ca="1">D84/D48</f>
        <v>0.2563330394190374</v>
      </c>
      <c r="E85" s="136">
        <f ca="1">E84/E48</f>
        <v>0.15727802865413115</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20" zoomScale="70" zoomScaleNormal="70" workbookViewId="0">
      <selection activeCell="F31" sqref="F31"/>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15.720930232558141</v>
      </c>
      <c r="C18" s="129">
        <f>'LEAP Region'!I26*1000</f>
        <v>429.70542635658921</v>
      </c>
      <c r="D18" s="129">
        <f>'LEAP Region'!J26*1000</f>
        <v>1247.1937984496126</v>
      </c>
      <c r="E18" s="130">
        <f>'LEAP Region'!K26*1000</f>
        <v>2415.7829457364346</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1.1058098639548517</v>
      </c>
      <c r="C20" s="129">
        <f>IF($F$22="adj",'1.Current Trans'!$O$13*C18/C19,C18/C19)</f>
        <v>32.973239579744671</v>
      </c>
      <c r="D20" s="129">
        <f>IF($F$22="adj",'1.Current Trans'!$O$13*D18/D19,D18/D19)</f>
        <v>105.27309904850189</v>
      </c>
      <c r="E20" s="130">
        <f>IF($F$22="adj",'1.Current Trans'!$O$13*E18/E19,E18/E19)</f>
        <v>226.568154348083</v>
      </c>
      <c r="G20" s="303" t="s">
        <v>106</v>
      </c>
      <c r="H20" s="303"/>
      <c r="I20" s="303"/>
      <c r="J20" s="303"/>
      <c r="K20" s="303"/>
      <c r="L20" s="303"/>
      <c r="M20" s="303"/>
      <c r="N20" s="303"/>
    </row>
    <row r="21" spans="2:22" ht="54.75" customHeight="1" x14ac:dyDescent="0.25">
      <c r="B21" s="131">
        <f>'1.Current Trans'!B9+'1.Current Trans'!B32</f>
        <v>221</v>
      </c>
      <c r="C21" s="132">
        <f t="shared" ref="C21:E21" si="0">B21*1.125</f>
        <v>248.625</v>
      </c>
      <c r="D21" s="132">
        <f t="shared" si="0"/>
        <v>279.703125</v>
      </c>
      <c r="E21" s="133">
        <f t="shared" si="0"/>
        <v>314.666015625</v>
      </c>
      <c r="G21" s="303" t="s">
        <v>189</v>
      </c>
      <c r="H21" s="303"/>
      <c r="I21" s="303"/>
      <c r="J21" s="303"/>
      <c r="K21" s="303"/>
      <c r="L21" s="303"/>
      <c r="M21" s="303"/>
      <c r="N21" s="303"/>
      <c r="O21" s="186">
        <f>(E21/B21)^(1/(E17-B17))-1</f>
        <v>1.014682216717655E-2</v>
      </c>
    </row>
    <row r="22" spans="2:22" ht="54.75" customHeight="1" x14ac:dyDescent="0.25">
      <c r="B22" s="134">
        <f>B20/B21</f>
        <v>5.003664542782134E-3</v>
      </c>
      <c r="C22" s="135">
        <f>C20/C21</f>
        <v>0.13262238141677093</v>
      </c>
      <c r="D22" s="135">
        <f>D20/D21</f>
        <v>0.37637441143534556</v>
      </c>
      <c r="E22" s="136">
        <f>E20/E21</f>
        <v>0.7200274039700979</v>
      </c>
      <c r="F22" s="54" t="s">
        <v>545</v>
      </c>
      <c r="G22" s="303" t="s">
        <v>191</v>
      </c>
      <c r="H22" s="303"/>
      <c r="I22" s="303"/>
      <c r="J22" s="303"/>
      <c r="K22" s="303"/>
      <c r="L22" s="303"/>
      <c r="M22" s="303"/>
      <c r="N22" s="303"/>
    </row>
    <row r="23" spans="2:22" ht="54.75" customHeight="1" x14ac:dyDescent="0.25">
      <c r="B23" s="166">
        <f>('LEAP Region'!H24+'LEAP Region'!H25+'LEAP Region'!H27+'LEAP Region'!H28)*1000</f>
        <v>17916.620155038763</v>
      </c>
      <c r="C23" s="167">
        <f>('LEAP Region'!I24+'LEAP Region'!I25+'LEAP Region'!I27+'LEAP Region'!I28)*1000</f>
        <v>12854.48062015504</v>
      </c>
      <c r="D23" s="167">
        <f>('LEAP Region'!J24+'LEAP Region'!J25+'LEAP Region'!J27+'LEAP Region'!J28)*1000</f>
        <v>7341.6744186046526</v>
      </c>
      <c r="E23" s="168">
        <f>('LEAP Region'!K24+'LEAP Region'!K25+'LEAP Region'!K27+'LEAP Region'!K28)*1000</f>
        <v>1021.860465116279</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0.12593916004531608</v>
      </c>
      <c r="D24" s="145">
        <f>res_share_state_target*('LEAP Statewide'!J25+'LEAP Statewide'!J28)*1000000/'2.Trans Targets'!D23</f>
        <v>0.14700393033126827</v>
      </c>
      <c r="E24" s="159">
        <f>res_share_state_target*('LEAP Statewide'!K25+'LEAP Statewide'!K28)*1000000/'2.Trans Targets'!E23</f>
        <v>0.52808334972847926</v>
      </c>
      <c r="G24" s="301" t="s">
        <v>192</v>
      </c>
      <c r="H24" s="301"/>
      <c r="I24" s="301"/>
      <c r="J24" s="301"/>
      <c r="K24" s="301"/>
      <c r="L24" s="301"/>
      <c r="M24" s="301"/>
      <c r="N24" s="301"/>
    </row>
    <row r="25" spans="2:22" ht="54.75" customHeight="1" x14ac:dyDescent="0.25">
      <c r="B25" s="128">
        <f>'1.Current Trans'!B26/'1.Current Trans'!B9</f>
        <v>75.07126772727274</v>
      </c>
      <c r="C25" s="129">
        <f>B25-(($B$25-$E$25)/3)</f>
        <v>64.194336818181824</v>
      </c>
      <c r="D25" s="129">
        <f>C25-(($B$25-$E$25)/3)</f>
        <v>53.317405909090908</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267.30086198282476</v>
      </c>
      <c r="C26" s="129">
        <f>IF($F$22="adj",'1.Current Trans'!$O$13*C23/C25,C23/C25)</f>
        <v>224.27240482833318</v>
      </c>
      <c r="D26" s="129">
        <f>IF($F$22="adj",'1.Current Trans'!$O$13*D23/D25,D23/D25)</f>
        <v>154.22121929295142</v>
      </c>
      <c r="E26" s="130">
        <f>IF($F$22="adj",'1.Current Trans'!$O$13*E23/E25,E23/E25)</f>
        <v>26.966798107943713</v>
      </c>
      <c r="G26" s="303" t="s">
        <v>107</v>
      </c>
      <c r="H26" s="303"/>
      <c r="I26" s="303"/>
      <c r="J26" s="303"/>
      <c r="K26" s="303"/>
      <c r="L26" s="303"/>
      <c r="M26" s="303"/>
      <c r="N26" s="303"/>
    </row>
    <row r="27" spans="2:22" ht="54.75" customHeight="1" x14ac:dyDescent="0.25">
      <c r="B27" s="134">
        <f>B26/B21</f>
        <v>1.2095061628182115</v>
      </c>
      <c r="C27" s="135">
        <f>C26/C21</f>
        <v>0.90205089925925863</v>
      </c>
      <c r="D27" s="135">
        <f>D26/D21</f>
        <v>0.55137467374721472</v>
      </c>
      <c r="E27" s="136">
        <f>E26/E21</f>
        <v>8.56997475700748E-2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62883.720930232565</v>
      </c>
      <c r="C5" s="172">
        <f>'LEAP Region'!C49*1000000</f>
        <v>293457.36434108531</v>
      </c>
      <c r="D5" s="172">
        <f>'LEAP Region'!D49*1000000</f>
        <v>461147.28682170546</v>
      </c>
      <c r="E5" s="173">
        <f>'LEAP Region'!E49*1000000</f>
        <v>676000</v>
      </c>
      <c r="G5" s="301" t="s">
        <v>186</v>
      </c>
      <c r="H5" s="301"/>
      <c r="I5" s="301"/>
      <c r="J5" s="301"/>
      <c r="K5" s="301"/>
      <c r="L5" s="301"/>
      <c r="M5" s="301"/>
      <c r="N5" s="301"/>
    </row>
    <row r="6" spans="2:14" s="126" customFormat="1" ht="45" customHeight="1" x14ac:dyDescent="0.2">
      <c r="B6" s="304">
        <v>400</v>
      </c>
      <c r="C6" s="305"/>
      <c r="D6" s="305"/>
      <c r="E6" s="306"/>
      <c r="G6" s="301" t="s">
        <v>475</v>
      </c>
      <c r="H6" s="301"/>
      <c r="I6" s="301"/>
      <c r="J6" s="301"/>
      <c r="K6" s="301"/>
      <c r="L6" s="301"/>
      <c r="M6" s="301"/>
      <c r="N6" s="301"/>
    </row>
    <row r="7" spans="2:14" s="126" customFormat="1" ht="45" customHeight="1" x14ac:dyDescent="0.2">
      <c r="B7" s="171">
        <f>B5/13/$B$6</f>
        <v>12.093023255813955</v>
      </c>
      <c r="C7" s="172">
        <f>C5/13/$B$6</f>
        <v>56.434108527131791</v>
      </c>
      <c r="D7" s="172">
        <f>D5/13/$B$6</f>
        <v>88.682170542635674</v>
      </c>
      <c r="E7" s="172">
        <f>E5/13/$B$6</f>
        <v>130</v>
      </c>
      <c r="G7" s="301" t="s">
        <v>185</v>
      </c>
      <c r="H7" s="301"/>
      <c r="I7" s="301"/>
      <c r="J7" s="301"/>
      <c r="K7" s="301"/>
      <c r="L7" s="301"/>
      <c r="M7" s="301"/>
      <c r="N7" s="301"/>
    </row>
    <row r="8" spans="2:14" s="126" customFormat="1" ht="45" customHeight="1" x14ac:dyDescent="0.2">
      <c r="B8" s="36">
        <f>'2.Heat Targets'!B31*1.5</f>
        <v>174</v>
      </c>
      <c r="C8" s="36">
        <f>'2.Heat Targets'!C31*1.5</f>
        <v>184.44</v>
      </c>
      <c r="D8" s="36">
        <f>'2.Heat Targets'!D31*1.5</f>
        <v>195.50640000000001</v>
      </c>
      <c r="E8" s="36">
        <f>'2.Heat Targets'!E31*1.5</f>
        <v>207.236784</v>
      </c>
      <c r="G8" s="301" t="s">
        <v>187</v>
      </c>
      <c r="H8" s="301"/>
      <c r="I8" s="301"/>
      <c r="J8" s="301"/>
      <c r="K8" s="301"/>
      <c r="L8" s="301"/>
      <c r="M8" s="301"/>
      <c r="N8" s="301"/>
    </row>
    <row r="9" spans="2:14" s="126" customFormat="1" ht="45" customHeight="1" x14ac:dyDescent="0.2">
      <c r="B9" s="174">
        <f>B7/B8</f>
        <v>6.9500133654103194E-2</v>
      </c>
      <c r="C9" s="175">
        <f>C7/C8</f>
        <v>0.30597543118158638</v>
      </c>
      <c r="D9" s="175">
        <f>D7/D8</f>
        <v>0.45360239123954854</v>
      </c>
      <c r="E9" s="176">
        <f>E7/E8</f>
        <v>0.62730176318505304</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22" zoomScale="70" zoomScaleNormal="70" workbookViewId="0">
      <selection activeCell="E50" sqref="E5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1.7000000000000001E-2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238.00000000000003</v>
      </c>
      <c r="O19" s="224">
        <f>I4*$R$16*1000</f>
        <v>850.00000000000011</v>
      </c>
      <c r="P19" s="224">
        <f>J4*$R$16*1000</f>
        <v>1394.0000000000002</v>
      </c>
      <c r="Q19" s="224">
        <f>K4*$R$16*1000</f>
        <v>2159.0000000000005</v>
      </c>
    </row>
    <row r="20" spans="1:17" x14ac:dyDescent="0.25">
      <c r="B20" s="21"/>
      <c r="C20" s="21"/>
      <c r="D20" s="21"/>
      <c r="E20" s="21"/>
      <c r="H20" s="23"/>
      <c r="I20" s="23"/>
      <c r="J20" s="23"/>
      <c r="K20" s="23"/>
      <c r="L20" s="22"/>
      <c r="M20" s="222" t="s">
        <v>3</v>
      </c>
      <c r="N20" s="224">
        <f t="shared" ref="N20:N28" si="0">H5*$R$16*1000</f>
        <v>31603</v>
      </c>
      <c r="O20" s="224">
        <f t="shared" ref="O20:O28" si="1">I5*$R$16*1000</f>
        <v>24990.000000000004</v>
      </c>
      <c r="P20" s="224">
        <f t="shared" ref="P20:P28" si="2">J5*$R$16*1000</f>
        <v>19176.000000000004</v>
      </c>
      <c r="Q20" s="224">
        <f t="shared" ref="Q20:Q28" si="3">K5*$R$16*1000</f>
        <v>12750.000000000002</v>
      </c>
    </row>
    <row r="21" spans="1:17" x14ac:dyDescent="0.25">
      <c r="L21" s="22"/>
      <c r="M21" s="222" t="s">
        <v>548</v>
      </c>
      <c r="N21" s="224">
        <f t="shared" si="0"/>
        <v>3519</v>
      </c>
      <c r="O21" s="224">
        <f t="shared" si="1"/>
        <v>3179.0000000000005</v>
      </c>
      <c r="P21" s="224">
        <f t="shared" si="2"/>
        <v>1734.0000000000002</v>
      </c>
      <c r="Q21" s="224">
        <f t="shared" si="3"/>
        <v>527</v>
      </c>
    </row>
    <row r="22" spans="1:17" ht="33.75" customHeight="1" x14ac:dyDescent="0.25">
      <c r="A22" s="231" t="s">
        <v>472</v>
      </c>
      <c r="B22" s="232"/>
      <c r="C22" s="232"/>
      <c r="D22" s="232"/>
      <c r="E22" s="233"/>
      <c r="G22" s="231" t="s">
        <v>473</v>
      </c>
      <c r="H22" s="232"/>
      <c r="I22" s="232"/>
      <c r="J22" s="232"/>
      <c r="K22" s="233"/>
      <c r="L22" s="22"/>
      <c r="M22" s="222" t="s">
        <v>5</v>
      </c>
      <c r="N22" s="224">
        <f t="shared" si="0"/>
        <v>391</v>
      </c>
      <c r="O22" s="224">
        <f t="shared" si="1"/>
        <v>1870</v>
      </c>
      <c r="P22" s="224">
        <f t="shared" si="2"/>
        <v>3825</v>
      </c>
      <c r="Q22" s="224">
        <f t="shared" si="3"/>
        <v>4590.0000000000009</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272</v>
      </c>
      <c r="O23" s="224">
        <f t="shared" si="1"/>
        <v>782</v>
      </c>
      <c r="P23" s="224">
        <f t="shared" si="2"/>
        <v>1530</v>
      </c>
      <c r="Q23" s="224">
        <f t="shared" si="3"/>
        <v>2142.0000000000005</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2040</v>
      </c>
      <c r="O24" s="224">
        <f t="shared" si="1"/>
        <v>2363</v>
      </c>
      <c r="P24" s="224">
        <f t="shared" si="2"/>
        <v>2737</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12019</v>
      </c>
      <c r="O25" s="224">
        <f t="shared" si="1"/>
        <v>9401</v>
      </c>
      <c r="P25" s="224">
        <f t="shared" si="2"/>
        <v>6018.0000000000009</v>
      </c>
      <c r="Q25" s="224">
        <f t="shared" si="3"/>
        <v>2108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28798</v>
      </c>
      <c r="O27" s="224">
        <f t="shared" si="1"/>
        <v>19346</v>
      </c>
      <c r="P27" s="224">
        <f t="shared" si="2"/>
        <v>10217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5372.0000000000009</v>
      </c>
      <c r="O28" s="224">
        <f t="shared" si="1"/>
        <v>6001</v>
      </c>
      <c r="P28" s="224">
        <f t="shared" si="2"/>
        <v>5389</v>
      </c>
      <c r="Q28" s="224">
        <f t="shared" si="3"/>
        <v>5032</v>
      </c>
    </row>
    <row r="29" spans="1:17" x14ac:dyDescent="0.25">
      <c r="A29" s="6" t="s">
        <v>24</v>
      </c>
      <c r="B29" s="18">
        <v>0</v>
      </c>
      <c r="C29" s="18">
        <v>0</v>
      </c>
      <c r="D29" s="18">
        <v>0</v>
      </c>
      <c r="E29" s="19">
        <v>0</v>
      </c>
      <c r="G29" s="1" t="s">
        <v>24</v>
      </c>
      <c r="H29" s="4">
        <v>0</v>
      </c>
      <c r="I29" s="4">
        <v>0</v>
      </c>
      <c r="J29" s="4">
        <v>0</v>
      </c>
      <c r="K29" s="5">
        <v>0</v>
      </c>
      <c r="M29" s="222" t="s">
        <v>550</v>
      </c>
      <c r="N29" s="225">
        <f>(B14-H14)*$R$16*1000</f>
        <v>2227.0000000000005</v>
      </c>
      <c r="O29" s="225">
        <f t="shared" ref="O29:Q29" si="4">(C14-I14)*$R$16*1000</f>
        <v>3723.0000000000005</v>
      </c>
      <c r="P29" s="225">
        <f t="shared" si="4"/>
        <v>7888.0000000000009</v>
      </c>
      <c r="Q29" s="225">
        <f t="shared" si="4"/>
        <v>11577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1.9E-2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152</v>
      </c>
      <c r="O51" s="223">
        <f t="shared" ref="O51:Q57" si="5">U4*$Q$48*1000</f>
        <v>930.99999999999989</v>
      </c>
      <c r="P51" s="223">
        <f t="shared" si="5"/>
        <v>1748</v>
      </c>
      <c r="Q51" s="223">
        <f t="shared" si="5"/>
        <v>3116</v>
      </c>
    </row>
    <row r="52" spans="1:17" x14ac:dyDescent="0.25">
      <c r="M52" s="223" t="s">
        <v>14</v>
      </c>
      <c r="N52" s="223">
        <f t="shared" ref="N52:N57" si="6">T5*$Q$48*1000</f>
        <v>7752</v>
      </c>
      <c r="O52" s="223">
        <f t="shared" si="5"/>
        <v>5776</v>
      </c>
      <c r="P52" s="223">
        <f t="shared" si="5"/>
        <v>3553</v>
      </c>
      <c r="Q52" s="223">
        <f t="shared" si="5"/>
        <v>19</v>
      </c>
    </row>
    <row r="53" spans="1:17" x14ac:dyDescent="0.25">
      <c r="M53" s="223" t="s">
        <v>15</v>
      </c>
      <c r="N53" s="223">
        <f t="shared" si="6"/>
        <v>14136</v>
      </c>
      <c r="O53" s="223">
        <f t="shared" si="5"/>
        <v>14003</v>
      </c>
      <c r="P53" s="223">
        <f t="shared" si="5"/>
        <v>13565.999999999998</v>
      </c>
      <c r="Q53" s="223">
        <f t="shared" si="5"/>
        <v>13148</v>
      </c>
    </row>
    <row r="54" spans="1:17" x14ac:dyDescent="0.25">
      <c r="M54" s="223" t="s">
        <v>8</v>
      </c>
      <c r="N54" s="223">
        <f t="shared" si="6"/>
        <v>5681</v>
      </c>
      <c r="O54" s="223">
        <f t="shared" si="5"/>
        <v>4902</v>
      </c>
      <c r="P54" s="223">
        <f t="shared" si="5"/>
        <v>3971</v>
      </c>
      <c r="Q54" s="223">
        <f t="shared" si="5"/>
        <v>2527</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797.99999999999989</v>
      </c>
      <c r="O56" s="223">
        <f t="shared" si="5"/>
        <v>589</v>
      </c>
      <c r="P56" s="223">
        <f t="shared" si="5"/>
        <v>361</v>
      </c>
      <c r="Q56" s="223">
        <f t="shared" si="5"/>
        <v>0</v>
      </c>
    </row>
    <row r="57" spans="1:17" x14ac:dyDescent="0.25">
      <c r="M57" s="223" t="s">
        <v>17</v>
      </c>
      <c r="N57" s="223">
        <f t="shared" si="6"/>
        <v>2679</v>
      </c>
      <c r="O57" s="223">
        <f t="shared" si="5"/>
        <v>3667</v>
      </c>
      <c r="P57" s="223">
        <f t="shared" si="5"/>
        <v>4636</v>
      </c>
      <c r="Q57" s="223">
        <f t="shared" si="5"/>
        <v>6308</v>
      </c>
    </row>
    <row r="58" spans="1:17" x14ac:dyDescent="0.25">
      <c r="M58" s="223" t="s">
        <v>550</v>
      </c>
      <c r="N58" s="223">
        <f>(N11-T11)*$Q$48*1000</f>
        <v>266</v>
      </c>
      <c r="O58" s="223">
        <f>(O11-U11)*$Q$48*1000</f>
        <v>1653</v>
      </c>
      <c r="P58" s="223">
        <f t="shared" ref="P58:Q58" si="7">(P11-V11)*$Q$48*1000</f>
        <v>3135</v>
      </c>
      <c r="Q58" s="223">
        <f t="shared" si="7"/>
        <v>5567</v>
      </c>
    </row>
    <row r="60" spans="1:17" ht="15.75" thickBot="1" x14ac:dyDescent="0.3"/>
    <row r="61" spans="1:17" ht="15.75" thickBot="1" x14ac:dyDescent="0.3">
      <c r="N61" t="s">
        <v>572</v>
      </c>
      <c r="Q61" s="229">
        <v>1.9E-2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55537</v>
      </c>
      <c r="O64" s="223">
        <f t="shared" ref="O64:Q68" si="8">I24*$Q$61*1000</f>
        <v>39786</v>
      </c>
      <c r="P64" s="223">
        <f t="shared" si="8"/>
        <v>22154</v>
      </c>
      <c r="Q64" s="223">
        <f t="shared" si="8"/>
        <v>1728.9999999999998</v>
      </c>
    </row>
    <row r="65" spans="13:17" x14ac:dyDescent="0.25">
      <c r="M65" s="223" t="s">
        <v>22</v>
      </c>
      <c r="N65" s="223">
        <f t="shared" ref="N65:N68" si="9">H25*$Q$61*1000</f>
        <v>7410</v>
      </c>
      <c r="O65" s="223">
        <f t="shared" si="8"/>
        <v>4939.9999999999991</v>
      </c>
      <c r="P65" s="223">
        <f t="shared" si="8"/>
        <v>2679</v>
      </c>
      <c r="Q65" s="223">
        <f t="shared" si="8"/>
        <v>304</v>
      </c>
    </row>
    <row r="66" spans="13:17" x14ac:dyDescent="0.25">
      <c r="M66" s="223" t="s">
        <v>23</v>
      </c>
      <c r="N66" s="223">
        <f t="shared" si="9"/>
        <v>56.999999999999993</v>
      </c>
      <c r="O66" s="223">
        <f t="shared" si="8"/>
        <v>1558</v>
      </c>
      <c r="P66" s="223">
        <f t="shared" si="8"/>
        <v>4522</v>
      </c>
      <c r="Q66" s="223">
        <f t="shared" si="8"/>
        <v>8759</v>
      </c>
    </row>
    <row r="67" spans="13:17" x14ac:dyDescent="0.25">
      <c r="M67" s="223" t="s">
        <v>20</v>
      </c>
      <c r="N67" s="223">
        <f t="shared" si="9"/>
        <v>1861.9999999999998</v>
      </c>
      <c r="O67" s="223">
        <f t="shared" si="8"/>
        <v>1159</v>
      </c>
      <c r="P67" s="223">
        <f t="shared" si="8"/>
        <v>627</v>
      </c>
      <c r="Q67" s="223">
        <f t="shared" si="8"/>
        <v>19</v>
      </c>
    </row>
    <row r="68" spans="13:17" x14ac:dyDescent="0.25">
      <c r="M68" s="223" t="s">
        <v>18</v>
      </c>
      <c r="N68" s="223">
        <f t="shared" si="9"/>
        <v>152</v>
      </c>
      <c r="O68" s="223">
        <f t="shared" si="8"/>
        <v>722</v>
      </c>
      <c r="P68" s="223">
        <f t="shared" si="8"/>
        <v>1159</v>
      </c>
      <c r="Q68" s="223">
        <f t="shared" si="8"/>
        <v>1653</v>
      </c>
    </row>
    <row r="69" spans="13:17" x14ac:dyDescent="0.25">
      <c r="M69" s="230" t="s">
        <v>550</v>
      </c>
      <c r="O69">
        <f t="shared" ref="O69:Q69" si="10">(C30-I30)*$Q$61*1000</f>
        <v>5016</v>
      </c>
      <c r="P69">
        <f t="shared" si="10"/>
        <v>14516</v>
      </c>
      <c r="Q69">
        <f t="shared" si="10"/>
        <v>26258</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2017-05-18T19:39:38Z</dcterms:modified>
</cp:coreProperties>
</file>