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Hardwick\"/>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86" l="1"/>
  <c r="B38" i="185"/>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D21" i="201"/>
  <c r="G21" i="201" s="1"/>
  <c r="D20" i="201"/>
  <c r="D19" i="201"/>
  <c r="G19" i="201" s="1"/>
  <c r="D18" i="201"/>
  <c r="G18" i="201" s="1"/>
  <c r="D17" i="201"/>
  <c r="G17" i="201" s="1"/>
  <c r="D16" i="201"/>
  <c r="D15" i="201"/>
  <c r="G15" i="201" s="1"/>
  <c r="D14" i="201"/>
  <c r="G14" i="201" s="1"/>
  <c r="G13" i="201"/>
  <c r="D13" i="201"/>
  <c r="D12" i="201"/>
  <c r="D11" i="201"/>
  <c r="G11" i="201" s="1"/>
  <c r="G10" i="201"/>
  <c r="D10" i="201"/>
  <c r="D9" i="201"/>
  <c r="G9" i="201" s="1"/>
  <c r="D8" i="201"/>
  <c r="E5" i="201"/>
  <c r="E4" i="201"/>
  <c r="D3" i="201"/>
  <c r="C3" i="201"/>
  <c r="B3" i="201"/>
  <c r="E3" i="201" l="1"/>
  <c r="E26" i="201" s="1"/>
  <c r="E17" i="201"/>
  <c r="E10" i="201"/>
  <c r="H10" i="201" s="1"/>
  <c r="G8" i="201"/>
  <c r="E8" i="201"/>
  <c r="E54" i="201"/>
  <c r="E52" i="201"/>
  <c r="H52" i="201" s="1"/>
  <c r="E50" i="201"/>
  <c r="H50" i="201" s="1"/>
  <c r="E48" i="201"/>
  <c r="E46" i="201"/>
  <c r="E44" i="201"/>
  <c r="H44" i="201" s="1"/>
  <c r="E42" i="201"/>
  <c r="H42" i="201" s="1"/>
  <c r="E13" i="201"/>
  <c r="G20" i="201"/>
  <c r="H20" i="201" s="1"/>
  <c r="E20" i="201"/>
  <c r="E22" i="201"/>
  <c r="E24" i="201"/>
  <c r="H24" i="201" s="1"/>
  <c r="E32" i="201"/>
  <c r="H32" i="201" s="1"/>
  <c r="E40" i="201"/>
  <c r="E9" i="201"/>
  <c r="H9" i="201" s="1"/>
  <c r="G16" i="201"/>
  <c r="E16" i="201"/>
  <c r="E18" i="201"/>
  <c r="H18" i="201" s="1"/>
  <c r="H22" i="201"/>
  <c r="E30" i="201"/>
  <c r="E38" i="201"/>
  <c r="G12" i="201"/>
  <c r="E12" i="201"/>
  <c r="E14" i="201"/>
  <c r="H14" i="201" s="1"/>
  <c r="E21" i="201"/>
  <c r="H21" i="201" s="1"/>
  <c r="E28" i="201"/>
  <c r="H28" i="201" s="1"/>
  <c r="E36" i="201"/>
  <c r="H13" i="201"/>
  <c r="H17" i="201"/>
  <c r="H35" i="201"/>
  <c r="H51" i="201"/>
  <c r="E11" i="201"/>
  <c r="H11" i="201" s="1"/>
  <c r="E15" i="201"/>
  <c r="H15" i="201" s="1"/>
  <c r="E19" i="201"/>
  <c r="H19" i="201" s="1"/>
  <c r="E23" i="201"/>
  <c r="H23" i="201" s="1"/>
  <c r="E25" i="201"/>
  <c r="H25" i="201" s="1"/>
  <c r="E27" i="201"/>
  <c r="H27" i="201" s="1"/>
  <c r="E29" i="201"/>
  <c r="H29" i="201" s="1"/>
  <c r="E31" i="201"/>
  <c r="H31" i="201" s="1"/>
  <c r="E33" i="201"/>
  <c r="H33" i="201" s="1"/>
  <c r="E35" i="201"/>
  <c r="E37" i="201"/>
  <c r="H37" i="201" s="1"/>
  <c r="E39" i="201"/>
  <c r="H39" i="201" s="1"/>
  <c r="E41" i="201"/>
  <c r="H41" i="201" s="1"/>
  <c r="E43" i="201"/>
  <c r="H43" i="201" s="1"/>
  <c r="E45" i="201"/>
  <c r="H45" i="201" s="1"/>
  <c r="E47" i="201"/>
  <c r="H47" i="201" s="1"/>
  <c r="E49" i="201"/>
  <c r="H49" i="201" s="1"/>
  <c r="E51" i="201"/>
  <c r="E53" i="201"/>
  <c r="H53" i="201" s="1"/>
  <c r="E55" i="201"/>
  <c r="H55" i="201" s="1"/>
  <c r="E57" i="201"/>
  <c r="H57" i="201" s="1"/>
  <c r="H26" i="201"/>
  <c r="H30" i="201"/>
  <c r="H36" i="201"/>
  <c r="H38" i="201"/>
  <c r="H40" i="201"/>
  <c r="H46" i="201"/>
  <c r="H48" i="201"/>
  <c r="H54" i="201"/>
  <c r="H16" i="201" l="1"/>
  <c r="E56" i="201"/>
  <c r="H56" i="201" s="1"/>
  <c r="E34" i="201"/>
  <c r="H34" i="201" s="1"/>
  <c r="H12" i="20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145" i="197"/>
  <c r="AD181" i="197"/>
  <c r="X237" i="197"/>
  <c r="U245" i="197"/>
  <c r="Q4" i="197"/>
  <c r="Q5" i="197"/>
  <c r="Q6" i="197"/>
  <c r="R6" i="197" s="1"/>
  <c r="Q7" i="197"/>
  <c r="R7" i="197" s="1"/>
  <c r="Q8" i="197"/>
  <c r="R8" i="197" s="1"/>
  <c r="Q9" i="197"/>
  <c r="Q10" i="197"/>
  <c r="Q11" i="197"/>
  <c r="R11" i="197" s="1"/>
  <c r="Q12" i="197"/>
  <c r="R12" i="197" s="1"/>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R60" i="197" s="1"/>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R76" i="197" s="1"/>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AE152" i="197" s="1"/>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X128" i="197"/>
  <c r="AB112" i="197"/>
  <c r="R140" i="197"/>
  <c r="AB244" i="197"/>
  <c r="Y232" i="197"/>
  <c r="AD220" i="197"/>
  <c r="V212" i="197"/>
  <c r="Y200" i="197"/>
  <c r="AD188" i="197"/>
  <c r="AE180" i="197"/>
  <c r="AB172" i="197"/>
  <c r="AA156" i="197"/>
  <c r="W144" i="197"/>
  <c r="AA124" i="197"/>
  <c r="T96" i="197"/>
  <c r="R124" i="197"/>
  <c r="AC248" i="197"/>
  <c r="V244" i="197"/>
  <c r="AD236" i="197"/>
  <c r="AD228" i="197"/>
  <c r="V220" i="197"/>
  <c r="Y208" i="197"/>
  <c r="AD196" i="197"/>
  <c r="V188" i="197"/>
  <c r="T180" i="197"/>
  <c r="AB168" i="197"/>
  <c r="AB140" i="197"/>
  <c r="AE120" i="197"/>
  <c r="AA88"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171" i="197" s="1"/>
  <c r="AK4" i="197"/>
  <c r="AH155" i="197" s="1"/>
  <c r="AH246" i="197"/>
  <c r="AH18" i="197"/>
  <c r="AH117" i="197"/>
  <c r="AH198" i="197"/>
  <c r="AH107" i="197"/>
  <c r="AH114" i="197"/>
  <c r="AH104" i="197"/>
  <c r="AH55" i="197"/>
  <c r="AH133" i="197"/>
  <c r="AH116" i="197"/>
  <c r="AH211" i="197"/>
  <c r="AH138" i="197"/>
  <c r="AH234" i="197"/>
  <c r="AH16" i="197"/>
  <c r="AH31" i="197"/>
  <c r="AH45"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E41" i="186"/>
  <c r="F38" i="186" s="1"/>
  <c r="F28" i="186" l="1"/>
  <c r="F35" i="186"/>
  <c r="AH205" i="197"/>
  <c r="AH36" i="197"/>
  <c r="F32" i="186"/>
  <c r="F39" i="186"/>
  <c r="AH175" i="197"/>
  <c r="AH96" i="197"/>
  <c r="AH42" i="197"/>
  <c r="AH115" i="197"/>
  <c r="AH85" i="197"/>
  <c r="AH213" i="197"/>
  <c r="AH199" i="197"/>
  <c r="AH137" i="197"/>
  <c r="AH59" i="197"/>
  <c r="AH220" i="197"/>
  <c r="AH179" i="197"/>
  <c r="AH7" i="197"/>
  <c r="AH60" i="197"/>
  <c r="F29" i="186"/>
  <c r="F37" i="186"/>
  <c r="AH13" i="197"/>
  <c r="AH86" i="197"/>
  <c r="AH191" i="197"/>
  <c r="AH112" i="197"/>
  <c r="AH58" i="197"/>
  <c r="AH147" i="197"/>
  <c r="AH52" i="197"/>
  <c r="AH101" i="197"/>
  <c r="AH23" i="197"/>
  <c r="AH56" i="197"/>
  <c r="AH82" i="197"/>
  <c r="AH91" i="197"/>
  <c r="AH230" i="197"/>
  <c r="AH148" i="197"/>
  <c r="AH168" i="197"/>
  <c r="AH108" i="197"/>
  <c r="F27" i="186"/>
  <c r="F33" i="186"/>
  <c r="F40" i="186"/>
  <c r="AH141" i="197"/>
  <c r="AH79" i="197"/>
  <c r="AH64" i="197"/>
  <c r="AH129" i="197"/>
  <c r="AH35" i="197"/>
  <c r="AH4" i="197"/>
  <c r="AH37" i="197"/>
  <c r="AH181" i="197"/>
  <c r="AH87" i="197"/>
  <c r="AH9" i="197"/>
  <c r="AH226" i="197"/>
  <c r="AH177" i="197"/>
  <c r="AH190"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B83" i="188" s="1"/>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82" i="194" l="1"/>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<sst xmlns="http://schemas.openxmlformats.org/spreadsheetml/2006/main" count="1627" uniqueCount="563">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</sst>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0.40860977268590803</v>
      </c>
      <c r="I4" s="4">
        <f>res_share_state_target*'LEAP Statewide'!I4</f>
        <v>2.4706637418217698</v>
      </c>
      <c r="J4" s="4">
        <f>res_share_state_target*'LEAP Statewide'!J4</f>
        <v>4.6610021744752999</v>
      </c>
      <c r="K4" s="5">
        <f>res_share_state_target*'LEAP Statewide'!K4</f>
        <v>8.5808052264040686</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0.23526375859441148</v>
      </c>
      <c r="U4" s="4">
        <f ca="1">com_share_state_target*'LEAP Statewide'!U4</f>
        <v>1.4709695197553496</v>
      </c>
      <c r="V4" s="4">
        <f ca="1">com_share_state_target*'LEAP Statewide'!V4</f>
        <v>2.7597809351621132</v>
      </c>
      <c r="W4" s="5">
        <f ca="1">com_share_state_target*'LEAP Statewide'!W4</f>
        <v>4.907419275146534</v>
      </c>
      <c r="Y4" s="23"/>
    </row>
    <row r="5" spans="1:25" x14ac:dyDescent="0.25">
      <c r="A5" s="1" t="s">
        <v>3</v>
      </c>
      <c r="B5" s="4">
        <f>res_share_state_target*'LEAP Statewide'!B5</f>
        <v>36.009924037052293</v>
      </c>
      <c r="C5" s="4">
        <f>res_share_state_target*'LEAP Statewide'!C5</f>
        <v>33.173412010383835</v>
      </c>
      <c r="D5" s="4">
        <f>res_share_state_target*'LEAP Statewide'!D5</f>
        <v>30.869042943492378</v>
      </c>
      <c r="E5" s="5">
        <f>res_share_state_target*'LEAP Statewide'!E5</f>
        <v>27.956510493998639</v>
      </c>
      <c r="G5" s="1" t="s">
        <v>3</v>
      </c>
      <c r="H5" s="4">
        <f>res_share_state_target*'LEAP Statewide'!H5</f>
        <v>36.119203394863639</v>
      </c>
      <c r="I5" s="4">
        <f>res_share_state_target*'LEAP Statewide'!I5</f>
        <v>33.905108580077204</v>
      </c>
      <c r="J5" s="4">
        <f>res_share_state_target*'LEAP Statewide'!J5</f>
        <v>31.653003553878133</v>
      </c>
      <c r="K5" s="5">
        <f>res_share_state_target*'LEAP Statewide'!K5</f>
        <v>30.14209765022559</v>
      </c>
      <c r="L5" s="21"/>
      <c r="M5" s="1" t="s">
        <v>14</v>
      </c>
      <c r="N5" s="4">
        <f ca="1">com_share_state_target*'LEAP Statewide'!N5</f>
        <v>22.121645650358012</v>
      </c>
      <c r="O5" s="4">
        <f ca="1">com_share_state_target*'LEAP Statewide'!O5</f>
        <v>17.873193310691939</v>
      </c>
      <c r="P5" s="4">
        <f ca="1">com_share_state_target*'LEAP Statewide'!P5</f>
        <v>12.97947872051207</v>
      </c>
      <c r="Q5" s="5">
        <f ca="1">com_share_state_target*'LEAP Statewide'!Q5</f>
        <v>5.2991448537770349</v>
      </c>
      <c r="R5" s="2"/>
      <c r="S5" s="1" t="s">
        <v>14</v>
      </c>
      <c r="T5" s="4">
        <f ca="1">com_share_state_target*'LEAP Statewide'!T5</f>
        <v>21.878958520739989</v>
      </c>
      <c r="U5" s="4">
        <f ca="1">com_share_state_target*'LEAP Statewide'!U5</f>
        <v>16.365106935818542</v>
      </c>
      <c r="V5" s="4">
        <f ca="1">com_share_state_target*'LEAP Statewide'!V5</f>
        <v>10.148890246355522</v>
      </c>
      <c r="W5" s="5">
        <f ca="1">com_share_state_target*'LEAP Statewide'!W5</f>
        <v>0.26495724268885174</v>
      </c>
      <c r="Y5" s="92"/>
    </row>
    <row r="6" spans="1:25" x14ac:dyDescent="0.25">
      <c r="A6" s="1" t="s">
        <v>4</v>
      </c>
      <c r="B6" s="4">
        <f>res_share_state_target*'LEAP Statewide'!B6</f>
        <v>5.4639678905673748</v>
      </c>
      <c r="C6" s="4">
        <f>res_share_state_target*'LEAP Statewide'!C6</f>
        <v>4.4281896295728638</v>
      </c>
      <c r="D6" s="4">
        <f>res_share_state_target*'LEAP Statewide'!D6</f>
        <v>3.0170605308785072</v>
      </c>
      <c r="E6" s="5">
        <f>res_share_state_target*'LEAP Statewide'!E6</f>
        <v>1.1925703830716619</v>
      </c>
      <c r="G6" s="1" t="s">
        <v>4</v>
      </c>
      <c r="H6" s="4">
        <f>res_share_state_target*'LEAP Statewide'!H6</f>
        <v>5.4972268255534376</v>
      </c>
      <c r="I6" s="4">
        <f>res_share_state_target*'LEAP Statewide'!I6</f>
        <v>4.5137126052513095</v>
      </c>
      <c r="J6" s="4">
        <f>res_share_state_target*'LEAP Statewide'!J6</f>
        <v>2.6274558638989203</v>
      </c>
      <c r="K6" s="5">
        <f>res_share_state_target*'LEAP Statewide'!K6</f>
        <v>0.85047848035787843</v>
      </c>
      <c r="L6" s="21"/>
      <c r="M6" s="1" t="s">
        <v>15</v>
      </c>
      <c r="N6" s="89">
        <f ca="1">com_share_state_target*'LEAP Statewide'!N6</f>
        <v>40.645811496966523</v>
      </c>
      <c r="O6" s="89">
        <f ca="1">com_share_state_target*'LEAP Statewide'!O6</f>
        <v>41.068372616772024</v>
      </c>
      <c r="P6" s="89">
        <f ca="1">com_share_state_target*'LEAP Statewide'!P6</f>
        <v>40.685783494785966</v>
      </c>
      <c r="Q6" s="90">
        <f ca="1">com_share_state_target*'LEAP Statewide'!Q6</f>
        <v>40.874222913077602</v>
      </c>
      <c r="R6" s="4"/>
      <c r="S6" s="1" t="s">
        <v>15</v>
      </c>
      <c r="T6" s="89">
        <f ca="1">com_share_state_target*'LEAP Statewide'!T6</f>
        <v>40.645240468426245</v>
      </c>
      <c r="U6" s="89">
        <f ca="1">com_share_state_target*'LEAP Statewide'!U6</f>
        <v>41.066659531151188</v>
      </c>
      <c r="V6" s="89">
        <f ca="1">com_share_state_target*'LEAP Statewide'!V6</f>
        <v>40.683499380624852</v>
      </c>
      <c r="W6" s="90">
        <f ca="1">com_share_state_target*'LEAP Statewide'!W6</f>
        <v>40.876507027238716</v>
      </c>
      <c r="Y6" s="92"/>
    </row>
    <row r="7" spans="1:25" x14ac:dyDescent="0.25">
      <c r="A7" s="1" t="s">
        <v>5</v>
      </c>
      <c r="B7" s="4">
        <f>res_share_state_target*'LEAP Statewide'!B7</f>
        <v>0.55114806548331785</v>
      </c>
      <c r="C7" s="4">
        <f>res_share_state_target*'LEAP Statewide'!C7</f>
        <v>3.1025835065569529</v>
      </c>
      <c r="D7" s="4">
        <f>res_share_state_target*'LEAP Statewide'!D7</f>
        <v>5.8488212811203812</v>
      </c>
      <c r="E7" s="5">
        <f>res_share_state_target*'LEAP Statewide'!E7</f>
        <v>8.0676673723333945</v>
      </c>
      <c r="G7" s="1" t="s">
        <v>5</v>
      </c>
      <c r="H7" s="4">
        <f>res_share_state_target*'LEAP Statewide'!H7</f>
        <v>0.96450911459580624</v>
      </c>
      <c r="I7" s="4">
        <f>res_share_state_target*'LEAP Statewide'!I7</f>
        <v>5.4022012970218309</v>
      </c>
      <c r="J7" s="4">
        <f>res_share_state_target*'LEAP Statewide'!J7</f>
        <v>10.433803032770397</v>
      </c>
      <c r="K7" s="5">
        <f>res_share_state_target*'LEAP Statewide'!K7</f>
        <v>14.372611190405486</v>
      </c>
      <c r="M7" s="1" t="s">
        <v>8</v>
      </c>
      <c r="N7" s="4">
        <f ca="1">com_share_state_target*'LEAP Statewide'!N7</f>
        <v>16.542696811844902</v>
      </c>
      <c r="O7" s="4">
        <f ca="1">com_share_state_target*'LEAP Statewide'!O7</f>
        <v>16.988099073261509</v>
      </c>
      <c r="P7" s="4">
        <f ca="1">com_share_state_target*'LEAP Statewide'!P7</f>
        <v>17.1137253521226</v>
      </c>
      <c r="Q7" s="5">
        <f ca="1">com_share_state_target*'LEAP Statewide'!Q7</f>
        <v>17.667623036191969</v>
      </c>
      <c r="R7" s="4"/>
      <c r="S7" s="1" t="s">
        <v>8</v>
      </c>
      <c r="T7" s="4">
        <f ca="1">com_share_state_target*'LEAP Statewide'!T7</f>
        <v>16.07502443735747</v>
      </c>
      <c r="U7" s="4">
        <f ca="1">com_share_state_target*'LEAP Statewide'!U7</f>
        <v>14.04558900521053</v>
      </c>
      <c r="V7" s="4">
        <f ca="1">com_share_state_target*'LEAP Statewide'!V7</f>
        <v>11.595305538878931</v>
      </c>
      <c r="W7" s="5">
        <f ca="1">com_share_state_target*'LEAP Statewide'!W7</f>
        <v>7.8516424288183435</v>
      </c>
      <c r="Y7" s="92"/>
    </row>
    <row r="8" spans="1:25" x14ac:dyDescent="0.25">
      <c r="A8" s="1" t="s">
        <v>6</v>
      </c>
      <c r="B8" s="4">
        <f>res_share_state_target*'LEAP Statewide'!B8</f>
        <v>6.1766593545544243E-2</v>
      </c>
      <c r="C8" s="4">
        <f>res_share_state_target*'LEAP Statewide'!C8</f>
        <v>0.45612253695171134</v>
      </c>
      <c r="D8" s="4">
        <f>res_share_state_target*'LEAP Statewide'!D8</f>
        <v>1.5536673914917667</v>
      </c>
      <c r="E8" s="5">
        <f>res_share_state_target*'LEAP Statewide'!E8</f>
        <v>3.2261166936480414</v>
      </c>
      <c r="G8" s="1" t="s">
        <v>6</v>
      </c>
      <c r="H8" s="4">
        <f>res_share_state_target*'LEAP Statewide'!H8</f>
        <v>0.26607147988849827</v>
      </c>
      <c r="I8" s="4">
        <f>res_share_state_target*'LEAP Statewide'!I8</f>
        <v>1.6534441964499536</v>
      </c>
      <c r="J8" s="4">
        <f>res_share_state_target*'LEAP Statewide'!J8</f>
        <v>3.596716254921307</v>
      </c>
      <c r="K8" s="5">
        <f>res_share_state_target*'LEAP Statewide'!K8</f>
        <v>5.9676031917848897</v>
      </c>
      <c r="M8" s="1" t="s">
        <v>9</v>
      </c>
      <c r="N8" s="4">
        <f ca="1">com_share_state_target*'LEAP Statewide'!N8</f>
        <v>15.937406559150544</v>
      </c>
      <c r="O8" s="4">
        <f ca="1">com_share_state_target*'LEAP Statewide'!O8</f>
        <v>19.357867515413954</v>
      </c>
      <c r="P8" s="4">
        <f ca="1">com_share_state_target*'LEAP Statewide'!P8</f>
        <v>22.618440480399606</v>
      </c>
      <c r="Q8" s="5">
        <f ca="1">com_share_state_target*'LEAP Statewide'!Q8</f>
        <v>28.362987595593246</v>
      </c>
      <c r="R8" s="4"/>
      <c r="S8" s="1" t="s">
        <v>9</v>
      </c>
      <c r="T8" s="4">
        <f ca="1">com_share_state_target*'LEAP Statewide'!T8</f>
        <v>14.77764759384654</v>
      </c>
      <c r="U8" s="4">
        <f ca="1">com_share_state_target*'LEAP Statewide'!U8</f>
        <v>12.107518139508025</v>
      </c>
      <c r="V8" s="4">
        <f ca="1">com_share_state_target*'LEAP Statewide'!V8</f>
        <v>9.0125434512029035</v>
      </c>
      <c r="W8" s="5">
        <f ca="1">com_share_state_target*'LEAP Statewide'!W8</f>
        <v>4.1707924581883038</v>
      </c>
      <c r="Y8" s="23"/>
    </row>
    <row r="9" spans="1:25" x14ac:dyDescent="0.25">
      <c r="A9" s="1" t="s">
        <v>7</v>
      </c>
      <c r="B9" s="4">
        <f>res_share_state_target*'LEAP Statewide'!B9</f>
        <v>4.622991963062657</v>
      </c>
      <c r="C9" s="4">
        <f>res_share_state_target*'LEAP Statewide'!C9</f>
        <v>3.7107468891592346</v>
      </c>
      <c r="D9" s="4">
        <f>res_share_state_target*'LEAP Statewide'!D9</f>
        <v>2.8317607502418745</v>
      </c>
      <c r="E9" s="5">
        <f>res_share_state_target*'LEAP Statewide'!E9</f>
        <v>1.4016265458411963</v>
      </c>
      <c r="G9" s="1" t="s">
        <v>7</v>
      </c>
      <c r="H9" s="4">
        <f>res_share_state_target*'LEAP Statewide'!H9</f>
        <v>4.5374689873842113</v>
      </c>
      <c r="I9" s="4">
        <f>res_share_state_target*'LEAP Statewide'!I9</f>
        <v>3.2688781814872643</v>
      </c>
      <c r="J9" s="4">
        <f>res_share_state_target*'LEAP Statewide'!J9</f>
        <v>2.0287950341497991</v>
      </c>
      <c r="K9" s="5">
        <f>res_share_state_target*'LEAP Statewide'!K9</f>
        <v>0</v>
      </c>
      <c r="L9" s="21"/>
      <c r="M9" s="1" t="s">
        <v>16</v>
      </c>
      <c r="N9" s="4">
        <f ca="1">com_share_state_target*'LEAP Statewide'!N9</f>
        <v>2.2441421632913521</v>
      </c>
      <c r="O9" s="4">
        <f ca="1">com_share_state_target*'LEAP Statewide'!O9</f>
        <v>1.6731136230136543</v>
      </c>
      <c r="P9" s="4">
        <f ca="1">com_share_state_target*'LEAP Statewide'!P9</f>
        <v>1.0278513724998559</v>
      </c>
      <c r="Q9" s="5">
        <f ca="1">com_share_state_target*'LEAP Statewide'!Q9</f>
        <v>0</v>
      </c>
      <c r="R9" s="2"/>
      <c r="S9" s="1" t="s">
        <v>16</v>
      </c>
      <c r="T9" s="4">
        <f ca="1">com_share_state_target*'LEAP Statewide'!T9</f>
        <v>2.2424290776705189</v>
      </c>
      <c r="U9" s="4">
        <f ca="1">com_share_state_target*'LEAP Statewide'!U9</f>
        <v>1.670258480312266</v>
      </c>
      <c r="V9" s="4">
        <f ca="1">com_share_state_target*'LEAP Statewide'!V9</f>
        <v>1.0255672583387452</v>
      </c>
      <c r="W9" s="5">
        <f ca="1">com_share_state_target*'LEAP Statewide'!W9</f>
        <v>0</v>
      </c>
      <c r="Y9" s="23"/>
    </row>
    <row r="10" spans="1:25" x14ac:dyDescent="0.25">
      <c r="A10" s="1" t="s">
        <v>8</v>
      </c>
      <c r="B10" s="4">
        <f>res_share_state_target*'LEAP Statewide'!B10</f>
        <v>26.66891458239537</v>
      </c>
      <c r="C10" s="4">
        <f>res_share_state_target*'LEAP Statewide'!C10</f>
        <v>21.366490090331727</v>
      </c>
      <c r="D10" s="4">
        <f>res_share_state_target*'LEAP Statewide'!D10</f>
        <v>15.783740289099844</v>
      </c>
      <c r="E10" s="5">
        <f>res_share_state_target*'LEAP Statewide'!E10</f>
        <v>5.6967804354698108</v>
      </c>
      <c r="G10" s="1" t="s">
        <v>8</v>
      </c>
      <c r="H10" s="4">
        <f>res_share_state_target*'LEAP Statewide'!H10</f>
        <v>26.355330338241071</v>
      </c>
      <c r="I10" s="4">
        <f>res_share_state_target*'LEAP Statewide'!I10</f>
        <v>20.135909495847422</v>
      </c>
      <c r="J10" s="4">
        <f>res_share_state_target*'LEAP Statewide'!J10</f>
        <v>14.092285881237247</v>
      </c>
      <c r="K10" s="5">
        <f>res_share_state_target*'LEAP Statewide'!K10</f>
        <v>4.7560277030069065</v>
      </c>
      <c r="L10" s="21"/>
      <c r="M10" s="1" t="s">
        <v>17</v>
      </c>
      <c r="N10" s="4">
        <f ca="1">com_share_state_target*'LEAP Statewide'!N10</f>
        <v>7.1435670388739991</v>
      </c>
      <c r="O10" s="4">
        <f ca="1">com_share_state_target*'LEAP Statewide'!O10</f>
        <v>7.6003898710961568</v>
      </c>
      <c r="P10" s="4">
        <f ca="1">com_share_state_target*'LEAP Statewide'!P10</f>
        <v>7.9372967098599982</v>
      </c>
      <c r="Q10" s="5">
        <f ca="1">com_share_state_target*'LEAP Statewide'!Q10</f>
        <v>8.6339515289987894</v>
      </c>
      <c r="R10" s="4"/>
      <c r="S10" s="1" t="s">
        <v>17</v>
      </c>
      <c r="T10" s="4">
        <f ca="1">com_share_state_target*'LEAP Statewide'!T10</f>
        <v>7.6689132959294808</v>
      </c>
      <c r="U10" s="4">
        <f ca="1">com_share_state_target*'LEAP Statewide'!U10</f>
        <v>10.895224548498472</v>
      </c>
      <c r="V10" s="4">
        <f ca="1">com_share_state_target*'LEAP Statewide'!V10</f>
        <v>14.116967572745242</v>
      </c>
      <c r="W10" s="5">
        <f ca="1">com_share_state_target*'LEAP Statewide'!W10</f>
        <v>19.628535043505583</v>
      </c>
      <c r="Y10" s="23"/>
    </row>
    <row r="11" spans="1:25" x14ac:dyDescent="0.25">
      <c r="A11" s="1" t="s">
        <v>9</v>
      </c>
      <c r="B11" s="4">
        <f>res_share_state_target*'LEAP Statewide'!B11</f>
        <v>23.024685563208262</v>
      </c>
      <c r="C11" s="4">
        <f>res_share_state_target*'LEAP Statewide'!C11</f>
        <v>29.885528723190252</v>
      </c>
      <c r="D11" s="4">
        <f>res_share_state_target*'LEAP Statewide'!D11</f>
        <v>38.409318632475355</v>
      </c>
      <c r="E11" s="5">
        <f>res_share_state_target*'LEAP Statewide'!E11</f>
        <v>56.255112890711061</v>
      </c>
      <c r="G11" s="1" t="s">
        <v>9</v>
      </c>
      <c r="H11" s="4">
        <f>res_share_state_target*'LEAP Statewide'!H11</f>
        <v>20.96738287049898</v>
      </c>
      <c r="I11" s="4">
        <f>res_share_state_target*'LEAP Statewide'!I11</f>
        <v>16.676980257296943</v>
      </c>
      <c r="J11" s="4">
        <f>res_share_state_target*'LEAP Statewide'!J11</f>
        <v>9.2982479668176978</v>
      </c>
      <c r="K11" s="5">
        <f>res_share_state_target*'LEAP Statewide'!K11</f>
        <v>1.1545601716590193</v>
      </c>
      <c r="L11" s="21"/>
      <c r="M11" s="7" t="s">
        <v>12</v>
      </c>
      <c r="N11" s="8">
        <f ca="1">SUM(N4:N10)</f>
        <v>104.63526972048534</v>
      </c>
      <c r="O11" s="8">
        <f ca="1">SUM(O4:O10)</f>
        <v>104.56103601024923</v>
      </c>
      <c r="P11" s="8">
        <f ca="1">SUM(P4:P10)</f>
        <v>102.3625761301801</v>
      </c>
      <c r="Q11" s="9">
        <f ca="1">SUM(Q4:Q10)</f>
        <v>100.83792992763865</v>
      </c>
      <c r="R11" s="4"/>
      <c r="S11" s="7" t="s">
        <v>12</v>
      </c>
      <c r="T11" s="8">
        <f ca="1">SUM(T4:T10)</f>
        <v>103.52347715256467</v>
      </c>
      <c r="U11" s="8">
        <f ca="1">SUM(U4:U10)</f>
        <v>97.621326160254384</v>
      </c>
      <c r="V11" s="8">
        <f ca="1">SUM(V4:V10)</f>
        <v>89.342554383308297</v>
      </c>
      <c r="W11" s="9">
        <f ca="1">SUM(W4:W10)</f>
        <v>77.699853475586337</v>
      </c>
    </row>
    <row r="12" spans="1:25" x14ac:dyDescent="0.25">
      <c r="A12" s="1" t="s">
        <v>10</v>
      </c>
      <c r="B12" s="4">
        <f>res_share_state_target*'LEAP Statewide'!B12</f>
        <v>49.313498031477202</v>
      </c>
      <c r="C12" s="4">
        <f>res_share_state_target*'LEAP Statewide'!C12</f>
        <v>38.741907982335981</v>
      </c>
      <c r="D12" s="4">
        <f>res_share_state_target*'LEAP Statewide'!D12</f>
        <v>25.538110792869254</v>
      </c>
      <c r="E12" s="5">
        <f>res_share_state_target*'LEAP Statewide'!E12</f>
        <v>6.8370867778490894</v>
      </c>
      <c r="G12" s="1" t="s">
        <v>10</v>
      </c>
      <c r="H12" s="4">
        <f>res_share_state_target*'LEAP Statewide'!H12</f>
        <v>48.348988916881396</v>
      </c>
      <c r="I12" s="4">
        <f>res_share_state_target*'LEAP Statewide'!I12</f>
        <v>34.646307702623737</v>
      </c>
      <c r="J12" s="4">
        <f>res_share_state_target*'LEAP Statewide'!J12</f>
        <v>21.352236261051985</v>
      </c>
      <c r="K12" s="5">
        <f>res_share_state_target*'LEAP Statewide'!K12</f>
        <v>0</v>
      </c>
      <c r="L12" s="21"/>
    </row>
    <row r="13" spans="1:25" x14ac:dyDescent="0.25">
      <c r="A13" s="1" t="s">
        <v>11</v>
      </c>
      <c r="B13" s="4">
        <f>res_share_state_target*'LEAP Statewide'!B13</f>
        <v>3.0598220187177301</v>
      </c>
      <c r="C13" s="4">
        <f>res_share_state_target*'LEAP Statewide'!C13</f>
        <v>4.0528387918730182</v>
      </c>
      <c r="D13" s="4">
        <f>res_share_state_target*'LEAP Statewide'!D13</f>
        <v>5.0030940771890835</v>
      </c>
      <c r="E13" s="5">
        <f>res_share_state_target*'LEAP Statewide'!E13</f>
        <v>6.4712384930024047</v>
      </c>
      <c r="G13" s="1" t="s">
        <v>11</v>
      </c>
      <c r="H13" s="4">
        <f>res_share_state_target*'LEAP Statewide'!H13</f>
        <v>3.5206958320960218</v>
      </c>
      <c r="I13" s="4">
        <f>res_share_state_target*'LEAP Statewide'!I13</f>
        <v>6.4427308344429219</v>
      </c>
      <c r="J13" s="4">
        <f>res_share_state_target*'LEAP Statewide'!J13</f>
        <v>8.6805820313622561</v>
      </c>
      <c r="K13" s="5">
        <f>res_share_state_target*'LEAP Statewide'!K13</f>
        <v>10.804402594043662</v>
      </c>
      <c r="L13" s="21"/>
      <c r="N13" s="21"/>
      <c r="O13" s="21"/>
      <c r="P13" s="21"/>
      <c r="Q13" s="21"/>
      <c r="T13" s="21"/>
      <c r="U13" s="21"/>
      <c r="V13" s="21"/>
      <c r="W13" s="21"/>
    </row>
    <row r="14" spans="1:25" x14ac:dyDescent="0.25">
      <c r="A14" s="7" t="s">
        <v>12</v>
      </c>
      <c r="B14" s="8">
        <f>SUM(B4:B13)</f>
        <v>148.77671874550975</v>
      </c>
      <c r="C14" s="8">
        <f>SUM(C4:C13)</f>
        <v>138.91782016035557</v>
      </c>
      <c r="D14" s="8">
        <f>SUM(D4:D13)</f>
        <v>128.85461668885844</v>
      </c>
      <c r="E14" s="9">
        <f>SUM(E4:E13)</f>
        <v>117.10471008592529</v>
      </c>
      <c r="G14" s="7" t="s">
        <v>12</v>
      </c>
      <c r="H14" s="8">
        <f>SUM(H4:H13)</f>
        <v>146.98548753268895</v>
      </c>
      <c r="I14" s="8">
        <f>SUM(I4:I13)</f>
        <v>129.11593689232038</v>
      </c>
      <c r="J14" s="8">
        <f>SUM(J4:J13)</f>
        <v>108.42412805456306</v>
      </c>
      <c r="K14" s="9">
        <f>SUM(K4:K13)</f>
        <v>76.628586207887494</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133.03573994424914</v>
      </c>
      <c r="C24" s="4">
        <f>res_share_state_target*'LEAP Statewide'!C24*1000</f>
        <v>109.2793578113475</v>
      </c>
      <c r="D24" s="4">
        <f>res_share_state_target*'LEAP Statewide'!D24*1000</f>
        <v>95.025528531606525</v>
      </c>
      <c r="E24" s="5">
        <f>res_share_state_target*'LEAP Statewide'!E24*1000</f>
        <v>80.771699251865542</v>
      </c>
      <c r="G24" s="1" t="s">
        <v>21</v>
      </c>
      <c r="H24" s="4">
        <f>res_share_state_target*'LEAP Statewide'!H24*1000</f>
        <v>133.03573994424914</v>
      </c>
      <c r="I24" s="4">
        <f>res_share_state_target*'LEAP Statewide'!I24*1000</f>
        <v>109.2793578113475</v>
      </c>
      <c r="J24" s="4">
        <f>res_share_state_target*'LEAP Statewide'!J24*1000</f>
        <v>52.264040692383588</v>
      </c>
      <c r="K24" s="5">
        <f>res_share_state_target*'LEAP Statewide'!K24*1000</f>
        <v>4.7512764265803265</v>
      </c>
    </row>
    <row r="25" spans="1:16" x14ac:dyDescent="0.25">
      <c r="A25" s="1" t="s">
        <v>22</v>
      </c>
      <c r="B25" s="4">
        <f>res_share_state_target*'LEAP Statewide'!B25*1000</f>
        <v>19.005105706321306</v>
      </c>
      <c r="C25" s="4">
        <f>res_share_state_target*'LEAP Statewide'!C25*1000</f>
        <v>14.25382927974098</v>
      </c>
      <c r="D25" s="4">
        <f>res_share_state_target*'LEAP Statewide'!D25*1000</f>
        <v>14.25382927974098</v>
      </c>
      <c r="E25" s="5">
        <f>res_share_state_target*'LEAP Statewide'!E25*1000</f>
        <v>9.5025528531606529</v>
      </c>
      <c r="G25" s="1" t="s">
        <v>22</v>
      </c>
      <c r="H25" s="4">
        <f>res_share_state_target*'LEAP Statewide'!H25*1000</f>
        <v>19.005105706321306</v>
      </c>
      <c r="I25" s="4">
        <f>res_share_state_target*'LEAP Statewide'!I25*1000</f>
        <v>14.25382927974098</v>
      </c>
      <c r="J25" s="4">
        <f>res_share_state_target*'LEAP Statewide'!J25*1000</f>
        <v>4.7512764265803265</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9.5025528531606529</v>
      </c>
      <c r="K26" s="5">
        <f>res_share_state_target*'LEAP Statewide'!K26*1000</f>
        <v>23.756382132901631</v>
      </c>
    </row>
    <row r="27" spans="1:16" x14ac:dyDescent="0.25">
      <c r="A27" s="1" t="s">
        <v>20</v>
      </c>
      <c r="B27" s="4">
        <f>res_share_state_target*'LEAP Statewide'!B27*1000</f>
        <v>4.7512764265803265</v>
      </c>
      <c r="C27" s="4">
        <f>res_share_state_target*'LEAP Statewide'!C27*1000</f>
        <v>4.7512764265803265</v>
      </c>
      <c r="D27" s="4">
        <f>res_share_state_target*'LEAP Statewide'!D27*1000</f>
        <v>4.7512764265803265</v>
      </c>
      <c r="E27" s="5">
        <f>res_share_state_target*'LEAP Statewide'!E27*1000</f>
        <v>4.7512764265803265</v>
      </c>
      <c r="G27" s="1" t="s">
        <v>20</v>
      </c>
      <c r="H27" s="4">
        <f>res_share_state_target*'LEAP Statewide'!H27*1000</f>
        <v>4.7512764265803265</v>
      </c>
      <c r="I27" s="4">
        <f>res_share_state_target*'LEAP Statewide'!I27*1000</f>
        <v>4.7512764265803265</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4.7512764265803265</v>
      </c>
      <c r="K28" s="5">
        <f>res_share_state_target*'LEAP Statewide'!K28*1000</f>
        <v>4.7512764265803265</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156.79212207715076</v>
      </c>
      <c r="C30" s="8">
        <f>SUM(C24:C29)</f>
        <v>128.2844635176688</v>
      </c>
      <c r="D30" s="8">
        <f>SUM(D24:D29)</f>
        <v>114.03063423792784</v>
      </c>
      <c r="E30" s="9">
        <f>SUM(E24:E29)</f>
        <v>95.025528531606525</v>
      </c>
      <c r="G30" s="7" t="s">
        <v>12</v>
      </c>
      <c r="H30" s="8">
        <f>SUM(H24:H29)</f>
        <v>156.79212207715076</v>
      </c>
      <c r="I30" s="8">
        <f>SUM(I24:I29)</f>
        <v>128.2844635176688</v>
      </c>
      <c r="J30" s="8">
        <f>SUM(J24:J29)</f>
        <v>71.269146398704905</v>
      </c>
      <c r="K30" s="9">
        <f>SUM(K24:K29)</f>
        <v>33.258934986062286</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0.48938147193777359</v>
      </c>
      <c r="C49" s="20">
        <f>res_share_state_target*'LEAP Statewide'!C49</f>
        <v>2.3423792783041009</v>
      </c>
      <c r="D49" s="20">
        <f>res_share_state_target*'LEAP Statewide'!D49</f>
        <v>4.0623413447261791</v>
      </c>
      <c r="E49" s="20">
        <f>res_share_state_target*'LEAP Statewide'!E49</f>
        <v>6.6992997614782599</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0.6459534883720931</v>
      </c>
      <c r="I4" s="4">
        <f>res_share_region_target*'LEAP Scenario'!I4</f>
        <v>2.3069767441860467</v>
      </c>
      <c r="J4" s="4">
        <f>res_share_region_target*'LEAP Scenario'!J4</f>
        <v>3.7834418604651163</v>
      </c>
      <c r="K4" s="5">
        <f>res_share_region_target*'LEAP Scenario'!K4</f>
        <v>5.8597209302325588</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0.53735435229609319</v>
      </c>
      <c r="U4" s="4">
        <f>com_share_region_target*'LEAP Scenario'!U4</f>
        <v>3.2912954078135708</v>
      </c>
      <c r="V4" s="4">
        <f>com_share_region_target*'LEAP Scenario'!V4</f>
        <v>6.179575051405072</v>
      </c>
      <c r="W4" s="5">
        <f>com_share_region_target*'LEAP Scenario'!W4</f>
        <v>11.01576422206991</v>
      </c>
      <c r="Y4" s="23"/>
    </row>
    <row r="5" spans="1:25" x14ac:dyDescent="0.25">
      <c r="A5" s="1" t="s">
        <v>3</v>
      </c>
      <c r="B5" s="4">
        <f>res_share_region_target*'LEAP Scenario'!B5</f>
        <v>87.203720930232564</v>
      </c>
      <c r="C5" s="4">
        <f>res_share_region_target*'LEAP Scenario'!C5</f>
        <v>72.346790697674422</v>
      </c>
      <c r="D5" s="4">
        <f>res_share_region_target*'LEAP Scenario'!D5</f>
        <v>60.027534883720932</v>
      </c>
      <c r="E5" s="5">
        <f>res_share_region_target*'LEAP Scenario'!E5</f>
        <v>45.724279069767441</v>
      </c>
      <c r="G5" s="1" t="s">
        <v>3</v>
      </c>
      <c r="H5" s="4">
        <f>res_share_region_target*'LEAP Scenario'!H5</f>
        <v>85.773395348837212</v>
      </c>
      <c r="I5" s="4">
        <f>res_share_region_target*'LEAP Scenario'!I5</f>
        <v>67.825116279069775</v>
      </c>
      <c r="J5" s="4">
        <f>res_share_region_target*'LEAP Scenario'!J5</f>
        <v>52.045395348837211</v>
      </c>
      <c r="K5" s="5">
        <f>res_share_region_target*'LEAP Scenario'!K5</f>
        <v>34.604651162790702</v>
      </c>
      <c r="L5" s="21"/>
      <c r="M5" s="1" t="s">
        <v>14</v>
      </c>
      <c r="N5" s="4">
        <f>com_share_region_target*'LEAP Scenario'!N5</f>
        <v>27.74091843728581</v>
      </c>
      <c r="O5" s="4">
        <f>com_share_region_target*'LEAP Scenario'!O5</f>
        <v>22.770390678546949</v>
      </c>
      <c r="P5" s="4">
        <f>com_share_region_target*'LEAP Scenario'!P5</f>
        <v>16.993831391363948</v>
      </c>
      <c r="Q5" s="5">
        <f>com_share_region_target*'LEAP Scenario'!Q5</f>
        <v>7.9259766963673748</v>
      </c>
      <c r="R5" s="2"/>
      <c r="S5" s="1" t="s">
        <v>14</v>
      </c>
      <c r="T5" s="4">
        <f>com_share_region_target*'LEAP Scenario'!T5</f>
        <v>27.405071967100753</v>
      </c>
      <c r="U5" s="4">
        <f>com_share_region_target*'LEAP Scenario'!U5</f>
        <v>20.419465387251542</v>
      </c>
      <c r="V5" s="4">
        <f>com_share_region_target*'LEAP Scenario'!V5</f>
        <v>12.560657984921178</v>
      </c>
      <c r="W5" s="5">
        <f>com_share_region_target*'LEAP Scenario'!W5</f>
        <v>6.7169294037011648E-2</v>
      </c>
      <c r="Y5" s="92"/>
    </row>
    <row r="6" spans="1:25" x14ac:dyDescent="0.25">
      <c r="A6" s="1" t="s">
        <v>4</v>
      </c>
      <c r="B6" s="4">
        <f>res_share_region_target*'LEAP Scenario'!B6</f>
        <v>8.8126511627906989</v>
      </c>
      <c r="C6" s="4">
        <f>res_share_region_target*'LEAP Scenario'!C6</f>
        <v>6.5518139534883728</v>
      </c>
      <c r="D6" s="4">
        <f>res_share_region_target*'LEAP Scenario'!D6</f>
        <v>3.7834418604651163</v>
      </c>
      <c r="E6" s="5">
        <f>res_share_region_target*'LEAP Scenario'!E6</f>
        <v>1.1073488372093023</v>
      </c>
      <c r="G6" s="1" t="s">
        <v>4</v>
      </c>
      <c r="H6" s="4">
        <f>res_share_region_target*'LEAP Scenario'!H6</f>
        <v>9.5508837209302335</v>
      </c>
      <c r="I6" s="4">
        <f>res_share_region_target*'LEAP Scenario'!I6</f>
        <v>8.6280930232558148</v>
      </c>
      <c r="J6" s="4">
        <f>res_share_region_target*'LEAP Scenario'!J6</f>
        <v>4.7062325581395354</v>
      </c>
      <c r="K6" s="5">
        <f>res_share_region_target*'LEAP Scenario'!K6</f>
        <v>1.4303255813953488</v>
      </c>
      <c r="L6" s="21"/>
      <c r="M6" s="1" t="s">
        <v>15</v>
      </c>
      <c r="N6" s="89">
        <f>com_share_region_target*'LEAP Scenario'!N6</f>
        <v>50.645647703906782</v>
      </c>
      <c r="O6" s="89">
        <f>com_share_region_target*'LEAP Scenario'!O6</f>
        <v>53.869773817683338</v>
      </c>
      <c r="P6" s="89">
        <f>com_share_region_target*'LEAP Scenario'!P6</f>
        <v>56.220699108978749</v>
      </c>
      <c r="Q6" s="90">
        <f>com_share_region_target*'LEAP Scenario'!Q6</f>
        <v>61.19122686771761</v>
      </c>
      <c r="R6" s="4"/>
      <c r="S6" s="1" t="s">
        <v>15</v>
      </c>
      <c r="T6" s="89">
        <f>com_share_region_target*'LEAP Scenario'!T6</f>
        <v>49.973954763536668</v>
      </c>
      <c r="U6" s="89">
        <f>com_share_region_target*'LEAP Scenario'!U6</f>
        <v>49.503769705277584</v>
      </c>
      <c r="V6" s="89">
        <f>com_share_region_target*'LEAP Scenario'!V6</f>
        <v>47.958875942426317</v>
      </c>
      <c r="W6" s="90">
        <f>com_share_region_target*'LEAP Scenario'!W6</f>
        <v>46.481151473612059</v>
      </c>
      <c r="Y6" s="92"/>
    </row>
    <row r="7" spans="1:25" x14ac:dyDescent="0.25">
      <c r="A7" s="1" t="s">
        <v>5</v>
      </c>
      <c r="B7" s="4">
        <f>res_share_region_target*'LEAP Scenario'!B7</f>
        <v>1.1996279069767442</v>
      </c>
      <c r="C7" s="4">
        <f>res_share_region_target*'LEAP Scenario'!C7</f>
        <v>5.6751627906976747</v>
      </c>
      <c r="D7" s="4">
        <f>res_share_region_target*'LEAP Scenario'!D7</f>
        <v>8.8126511627906989</v>
      </c>
      <c r="E7" s="5">
        <f>res_share_region_target*'LEAP Scenario'!E7</f>
        <v>11.073488372093024</v>
      </c>
      <c r="G7" s="1" t="s">
        <v>5</v>
      </c>
      <c r="H7" s="4">
        <f>res_share_region_target*'LEAP Scenario'!H7</f>
        <v>1.0612093023255815</v>
      </c>
      <c r="I7" s="4">
        <f>res_share_region_target*'LEAP Scenario'!I7</f>
        <v>5.0753488372093027</v>
      </c>
      <c r="J7" s="4">
        <f>res_share_region_target*'LEAP Scenario'!J7</f>
        <v>10.381395348837209</v>
      </c>
      <c r="K7" s="5">
        <f>res_share_region_target*'LEAP Scenario'!K7</f>
        <v>12.457674418604652</v>
      </c>
      <c r="M7" s="1" t="s">
        <v>8</v>
      </c>
      <c r="N7" s="4">
        <f>com_share_region_target*'LEAP Scenario'!N7</f>
        <v>20.889650445510622</v>
      </c>
      <c r="O7" s="4">
        <f>com_share_region_target*'LEAP Scenario'!O7</f>
        <v>22.568882796435915</v>
      </c>
      <c r="P7" s="4">
        <f>com_share_region_target*'LEAP Scenario'!P7</f>
        <v>23.845099383139136</v>
      </c>
      <c r="Q7" s="5">
        <f>com_share_region_target*'LEAP Scenario'!Q7</f>
        <v>26.464701850582589</v>
      </c>
      <c r="R7" s="4"/>
      <c r="S7" s="1" t="s">
        <v>8</v>
      </c>
      <c r="T7" s="4">
        <f>com_share_region_target*'LEAP Scenario'!T7</f>
        <v>20.083618917066484</v>
      </c>
      <c r="U7" s="4">
        <f>com_share_region_target*'LEAP Scenario'!U7</f>
        <v>17.329677861549005</v>
      </c>
      <c r="V7" s="4">
        <f>com_share_region_target*'LEAP Scenario'!V7</f>
        <v>14.038382453735434</v>
      </c>
      <c r="W7" s="5">
        <f>com_share_region_target*'LEAP Scenario'!W7</f>
        <v>8.9335161069225499</v>
      </c>
      <c r="Y7" s="92"/>
    </row>
    <row r="8" spans="1:25" x14ac:dyDescent="0.25">
      <c r="A8" s="1" t="s">
        <v>6</v>
      </c>
      <c r="B8" s="4">
        <f>res_share_region_target*'LEAP Scenario'!B8</f>
        <v>0.13841860465116279</v>
      </c>
      <c r="C8" s="4">
        <f>res_share_region_target*'LEAP Scenario'!C8</f>
        <v>0.59981395348837208</v>
      </c>
      <c r="D8" s="4">
        <f>res_share_region_target*'LEAP Scenario'!D8</f>
        <v>2.1685581395348836</v>
      </c>
      <c r="E8" s="5">
        <f>res_share_region_target*'LEAP Scenario'!E8</f>
        <v>5.2137674418604654</v>
      </c>
      <c r="G8" s="1" t="s">
        <v>6</v>
      </c>
      <c r="H8" s="4">
        <f>res_share_region_target*'LEAP Scenario'!H8</f>
        <v>0.73823255813953492</v>
      </c>
      <c r="I8" s="4">
        <f>res_share_region_target*'LEAP Scenario'!I8</f>
        <v>2.1224186046511631</v>
      </c>
      <c r="J8" s="4">
        <f>res_share_region_target*'LEAP Scenario'!J8</f>
        <v>4.1525581395348841</v>
      </c>
      <c r="K8" s="5">
        <f>res_share_region_target*'LEAP Scenario'!K8</f>
        <v>5.8135813953488373</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5.952</v>
      </c>
      <c r="C9" s="4">
        <f>res_share_region_target*'LEAP Scenario'!C9</f>
        <v>7.5668837209302326</v>
      </c>
      <c r="D9" s="4">
        <f>res_share_region_target*'LEAP Scenario'!D9</f>
        <v>9.2740465116279083</v>
      </c>
      <c r="E9" s="5">
        <f>res_share_region_target*'LEAP Scenario'!E9</f>
        <v>2.3531162790697677</v>
      </c>
      <c r="G9" s="1" t="s">
        <v>7</v>
      </c>
      <c r="H9" s="4">
        <f>res_share_region_target*'LEAP Scenario'!H9</f>
        <v>5.5367441860465121</v>
      </c>
      <c r="I9" s="4">
        <f>res_share_region_target*'LEAP Scenario'!I9</f>
        <v>6.4133953488372093</v>
      </c>
      <c r="J9" s="4">
        <f>res_share_region_target*'LEAP Scenario'!J9</f>
        <v>7.42846511627907</v>
      </c>
      <c r="K9" s="5">
        <f>res_share_region_target*'LEAP Scenario'!K9</f>
        <v>0</v>
      </c>
      <c r="L9" s="21"/>
      <c r="M9" s="1" t="s">
        <v>16</v>
      </c>
      <c r="N9" s="4">
        <f>com_share_region_target*'LEAP Scenario'!N9</f>
        <v>2.8211103495544894</v>
      </c>
      <c r="O9" s="4">
        <f>com_share_region_target*'LEAP Scenario'!O9</f>
        <v>2.0822481151473613</v>
      </c>
      <c r="P9" s="4">
        <f>com_share_region_target*'LEAP Scenario'!P9</f>
        <v>1.2762165867032214</v>
      </c>
      <c r="Q9" s="5">
        <f>com_share_region_target*'LEAP Scenario'!Q9</f>
        <v>0</v>
      </c>
      <c r="R9" s="2"/>
      <c r="S9" s="1" t="s">
        <v>16</v>
      </c>
      <c r="T9" s="4">
        <f>com_share_region_target*'LEAP Scenario'!T9</f>
        <v>2.8211103495544894</v>
      </c>
      <c r="U9" s="4">
        <f>com_share_region_target*'LEAP Scenario'!U9</f>
        <v>2.0822481151473613</v>
      </c>
      <c r="V9" s="4">
        <f>com_share_region_target*'LEAP Scenario'!V9</f>
        <v>1.2762165867032214</v>
      </c>
      <c r="W9" s="5">
        <f>com_share_region_target*'LEAP Scenario'!W9</f>
        <v>0</v>
      </c>
      <c r="Y9" s="23"/>
    </row>
    <row r="10" spans="1:25" x14ac:dyDescent="0.25">
      <c r="A10" s="1" t="s">
        <v>8</v>
      </c>
      <c r="B10" s="4">
        <f>res_share_region_target*'LEAP Scenario'!B10</f>
        <v>33.358883720930237</v>
      </c>
      <c r="C10" s="4">
        <f>res_share_region_target*'LEAP Scenario'!C10</f>
        <v>27.222325581395349</v>
      </c>
      <c r="D10" s="4">
        <f>res_share_region_target*'LEAP Scenario'!D10</f>
        <v>21.77786046511628</v>
      </c>
      <c r="E10" s="5">
        <f>res_share_region_target*'LEAP Scenario'!E10</f>
        <v>14.580093023255815</v>
      </c>
      <c r="G10" s="1" t="s">
        <v>8</v>
      </c>
      <c r="H10" s="4">
        <f>res_share_region_target*'LEAP Scenario'!H10</f>
        <v>32.620651162790701</v>
      </c>
      <c r="I10" s="4">
        <f>res_share_region_target*'LEAP Scenario'!I10</f>
        <v>25.515162790697676</v>
      </c>
      <c r="J10" s="4">
        <f>res_share_region_target*'LEAP Scenario'!J10</f>
        <v>16.333395348837211</v>
      </c>
      <c r="K10" s="5">
        <f>res_share_region_target*'LEAP Scenario'!K10</f>
        <v>5.7213023255813953</v>
      </c>
      <c r="L10" s="21"/>
      <c r="M10" s="1" t="s">
        <v>17</v>
      </c>
      <c r="N10" s="4">
        <f>com_share_region_target*'LEAP Scenario'!N10</f>
        <v>9.0678546949965728</v>
      </c>
      <c r="O10" s="4">
        <f>com_share_region_target*'LEAP Scenario'!O10</f>
        <v>10.142563399588759</v>
      </c>
      <c r="P10" s="4">
        <f>com_share_region_target*'LEAP Scenario'!P10</f>
        <v>11.150102810143933</v>
      </c>
      <c r="Q10" s="5">
        <f>com_share_region_target*'LEAP Scenario'!Q10</f>
        <v>12.896504455106236</v>
      </c>
      <c r="R10" s="4"/>
      <c r="S10" s="1" t="s">
        <v>17</v>
      </c>
      <c r="T10" s="4">
        <f>com_share_region_target*'LEAP Scenario'!T10</f>
        <v>9.4708704592186432</v>
      </c>
      <c r="U10" s="4">
        <f>com_share_region_target*'LEAP Scenario'!U10</f>
        <v>12.963673749143249</v>
      </c>
      <c r="V10" s="4">
        <f>com_share_region_target*'LEAP Scenario'!V10</f>
        <v>16.389307745030841</v>
      </c>
      <c r="W10" s="5">
        <f>com_share_region_target*'LEAP Scenario'!W10</f>
        <v>22.300205620287866</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111.16518163125427</v>
      </c>
      <c r="O11" s="8">
        <f>SUM(O4:O10)</f>
        <v>111.43385880740232</v>
      </c>
      <c r="P11" s="8">
        <f>SUM(P4:P10)</f>
        <v>109.48594928032901</v>
      </c>
      <c r="Q11" s="9">
        <f>SUM(Q4:Q10)</f>
        <v>108.47840986977381</v>
      </c>
      <c r="R11" s="4"/>
      <c r="S11" s="7" t="s">
        <v>12</v>
      </c>
      <c r="T11" s="8">
        <f>SUM(T4:T10)</f>
        <v>110.29198080877313</v>
      </c>
      <c r="U11" s="8">
        <f>SUM(U4:U10)</f>
        <v>105.59013022618232</v>
      </c>
      <c r="V11" s="8">
        <f>SUM(V4:V10)</f>
        <v>98.40301576422209</v>
      </c>
      <c r="W11" s="9">
        <f>SUM(W4:W10)</f>
        <v>88.797806716929401</v>
      </c>
    </row>
    <row r="12" spans="1:25" x14ac:dyDescent="0.25">
      <c r="A12" s="1" t="s">
        <v>10</v>
      </c>
      <c r="B12" s="4">
        <f>res_share_region_target*'LEAP Scenario'!B12</f>
        <v>81.251720930232565</v>
      </c>
      <c r="C12" s="4">
        <f>res_share_region_target*'LEAP Scenario'!C12</f>
        <v>61.919255813953491</v>
      </c>
      <c r="D12" s="4">
        <f>res_share_region_target*'LEAP Scenario'!D12</f>
        <v>43.371162790697674</v>
      </c>
      <c r="E12" s="5">
        <f>res_share_region_target*'LEAP Scenario'!E12</f>
        <v>18.963348837209303</v>
      </c>
      <c r="G12" s="1" t="s">
        <v>10</v>
      </c>
      <c r="H12" s="4">
        <f>res_share_region_target*'LEAP Scenario'!H12</f>
        <v>78.160372093023256</v>
      </c>
      <c r="I12" s="4">
        <f>res_share_region_target*'LEAP Scenario'!I12</f>
        <v>52.506790697674418</v>
      </c>
      <c r="J12" s="4">
        <f>res_share_region_target*'LEAP Scenario'!J12</f>
        <v>27.729860465116282</v>
      </c>
      <c r="K12" s="5">
        <f>res_share_region_target*'LEAP Scenario'!K12</f>
        <v>0</v>
      </c>
      <c r="L12" s="21"/>
    </row>
    <row r="13" spans="1:25" x14ac:dyDescent="0.25">
      <c r="A13" s="1" t="s">
        <v>11</v>
      </c>
      <c r="B13" s="4">
        <f>res_share_region_target*'LEAP Scenario'!B13</f>
        <v>16.794790697674419</v>
      </c>
      <c r="C13" s="4">
        <f>res_share_region_target*'LEAP Scenario'!C13</f>
        <v>14.903069767441862</v>
      </c>
      <c r="D13" s="4">
        <f>res_share_region_target*'LEAP Scenario'!D13</f>
        <v>13.380465116279071</v>
      </c>
      <c r="E13" s="5">
        <f>res_share_region_target*'LEAP Scenario'!E13</f>
        <v>11.950139534883721</v>
      </c>
      <c r="G13" s="1" t="s">
        <v>11</v>
      </c>
      <c r="H13" s="4">
        <f>res_share_region_target*'LEAP Scenario'!H13</f>
        <v>14.580093023255815</v>
      </c>
      <c r="I13" s="4">
        <f>res_share_region_target*'LEAP Scenario'!I13</f>
        <v>16.28725581395349</v>
      </c>
      <c r="J13" s="4">
        <f>res_share_region_target*'LEAP Scenario'!J13</f>
        <v>14.626232558139536</v>
      </c>
      <c r="K13" s="5">
        <f>res_share_region_target*'LEAP Scenario'!K13</f>
        <v>13.657302325581396</v>
      </c>
      <c r="L13" s="21"/>
      <c r="N13" s="21"/>
      <c r="O13" s="21"/>
      <c r="P13" s="21"/>
      <c r="Q13" s="21"/>
      <c r="T13" s="21"/>
      <c r="U13" s="21"/>
      <c r="V13" s="21"/>
      <c r="W13" s="21"/>
    </row>
    <row r="14" spans="1:25" x14ac:dyDescent="0.25">
      <c r="A14" s="7" t="s">
        <v>12</v>
      </c>
      <c r="B14" s="8">
        <f>SUM(B4:B13)</f>
        <v>234.71181395348842</v>
      </c>
      <c r="C14" s="8">
        <f>SUM(C4:C13)</f>
        <v>196.78511627906977</v>
      </c>
      <c r="D14" s="8">
        <f>SUM(D4:D13)</f>
        <v>162.59572093023257</v>
      </c>
      <c r="E14" s="9">
        <f>SUM(E4:E13)</f>
        <v>110.96558139534882</v>
      </c>
      <c r="G14" s="7" t="s">
        <v>12</v>
      </c>
      <c r="H14" s="8">
        <f>SUM(H4:H13)</f>
        <v>228.66753488372092</v>
      </c>
      <c r="I14" s="8">
        <f>SUM(I4:I13)</f>
        <v>186.6805581395349</v>
      </c>
      <c r="J14" s="8">
        <f>SUM(J4:J13)</f>
        <v>141.18697674418607</v>
      </c>
      <c r="K14" s="9">
        <f>SUM(K4:K13)</f>
        <v>79.544558139534885</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134.35832558139535</v>
      </c>
      <c r="C24" s="4">
        <f>res_share_region_target*'LEAP Scenario'!C24</f>
        <v>109.35069767441861</v>
      </c>
      <c r="D24" s="4">
        <f>res_share_region_target*'LEAP Scenario'!D24</f>
        <v>93.201860465116283</v>
      </c>
      <c r="E24" s="5">
        <f>res_share_region_target*'LEAP Scenario'!E24</f>
        <v>78.252651162790698</v>
      </c>
      <c r="G24" s="1" t="s">
        <v>21</v>
      </c>
      <c r="H24" s="4">
        <f>res_share_region_target*'LEAP Scenario'!H24</f>
        <v>134.8658604651163</v>
      </c>
      <c r="I24" s="4">
        <f>res_share_region_target*'LEAP Scenario'!I24</f>
        <v>96.616186046511629</v>
      </c>
      <c r="J24" s="4">
        <f>res_share_region_target*'LEAP Scenario'!J24</f>
        <v>53.798697674418605</v>
      </c>
      <c r="K24" s="5">
        <f>res_share_region_target*'LEAP Scenario'!K24</f>
        <v>4.1986976744186046</v>
      </c>
    </row>
    <row r="25" spans="1:16" x14ac:dyDescent="0.25">
      <c r="A25" s="1" t="s">
        <v>22</v>
      </c>
      <c r="B25" s="4">
        <f>res_share_region_target*'LEAP Scenario'!B25</f>
        <v>18.22511627906977</v>
      </c>
      <c r="C25" s="4">
        <f>res_share_region_target*'LEAP Scenario'!C25</f>
        <v>14.718511627906977</v>
      </c>
      <c r="D25" s="4">
        <f>res_share_region_target*'LEAP Scenario'!D25</f>
        <v>12.457674418604652</v>
      </c>
      <c r="E25" s="5">
        <f>res_share_region_target*'LEAP Scenario'!E25</f>
        <v>10.33525581395349</v>
      </c>
      <c r="G25" s="1" t="s">
        <v>22</v>
      </c>
      <c r="H25" s="4">
        <f>res_share_region_target*'LEAP Scenario'!H25</f>
        <v>17.994418604651162</v>
      </c>
      <c r="I25" s="4">
        <f>res_share_region_target*'LEAP Scenario'!I25</f>
        <v>11.996279069767443</v>
      </c>
      <c r="J25" s="4">
        <f>res_share_region_target*'LEAP Scenario'!J25</f>
        <v>6.5056744186046513</v>
      </c>
      <c r="K25" s="5">
        <f>res_share_region_target*'LEAP Scenario'!K25</f>
        <v>0.73823255813953492</v>
      </c>
    </row>
    <row r="26" spans="1:16" x14ac:dyDescent="0.25">
      <c r="A26" s="1" t="s">
        <v>23</v>
      </c>
      <c r="B26" s="4">
        <f>res_share_region_target*'LEAP Scenario'!B26</f>
        <v>0.13841860465116279</v>
      </c>
      <c r="C26" s="4">
        <f>res_share_region_target*'LEAP Scenario'!C26</f>
        <v>0.41525581395348837</v>
      </c>
      <c r="D26" s="4">
        <f>res_share_region_target*'LEAP Scenario'!D26</f>
        <v>0.6459534883720931</v>
      </c>
      <c r="E26" s="5">
        <f>res_share_region_target*'LEAP Scenario'!E26</f>
        <v>0.96893023255813959</v>
      </c>
      <c r="G26" s="1" t="s">
        <v>23</v>
      </c>
      <c r="H26" s="4">
        <f>res_share_region_target*'LEAP Scenario'!H26</f>
        <v>0.13841860465116279</v>
      </c>
      <c r="I26" s="4">
        <f>res_share_region_target*'LEAP Scenario'!I26</f>
        <v>3.7834418604651163</v>
      </c>
      <c r="J26" s="4">
        <f>res_share_region_target*'LEAP Scenario'!J26</f>
        <v>10.981209302325581</v>
      </c>
      <c r="K26" s="5">
        <f>res_share_region_target*'LEAP Scenario'!K26</f>
        <v>21.270325581395351</v>
      </c>
    </row>
    <row r="27" spans="1:16" x14ac:dyDescent="0.25">
      <c r="A27" s="1" t="s">
        <v>20</v>
      </c>
      <c r="B27" s="4">
        <f>res_share_region_target*'LEAP Scenario'!B27</f>
        <v>4.8907906976744187</v>
      </c>
      <c r="C27" s="4">
        <f>res_share_region_target*'LEAP Scenario'!C27</f>
        <v>4.6139534883720934</v>
      </c>
      <c r="D27" s="4">
        <f>res_share_region_target*'LEAP Scenario'!D27</f>
        <v>4.5216744186046514</v>
      </c>
      <c r="E27" s="5">
        <f>res_share_region_target*'LEAP Scenario'!E27</f>
        <v>4.4755348837209308</v>
      </c>
      <c r="G27" s="1" t="s">
        <v>20</v>
      </c>
      <c r="H27" s="4">
        <f>res_share_region_target*'LEAP Scenario'!H27</f>
        <v>4.5216744186046514</v>
      </c>
      <c r="I27" s="4">
        <f>res_share_region_target*'LEAP Scenario'!I27</f>
        <v>2.8145116279069771</v>
      </c>
      <c r="J27" s="4">
        <f>res_share_region_target*'LEAP Scenario'!J27</f>
        <v>1.5226046511627909</v>
      </c>
      <c r="K27" s="5">
        <f>res_share_region_target*'LEAP Scenario'!K27</f>
        <v>4.6139534883720933E-2</v>
      </c>
    </row>
    <row r="28" spans="1:16" x14ac:dyDescent="0.25">
      <c r="A28" s="1" t="s">
        <v>18</v>
      </c>
      <c r="B28" s="4">
        <f>res_share_region_target*'LEAP Scenario'!B28</f>
        <v>4.6139534883720933E-2</v>
      </c>
      <c r="C28" s="4">
        <f>res_share_region_target*'LEAP Scenario'!C28</f>
        <v>4.6139534883720933E-2</v>
      </c>
      <c r="D28" s="4">
        <f>res_share_region_target*'LEAP Scenario'!D28</f>
        <v>4.6139534883720933E-2</v>
      </c>
      <c r="E28" s="5">
        <f>res_share_region_target*'LEAP Scenario'!E28</f>
        <v>0</v>
      </c>
      <c r="G28" s="1" t="s">
        <v>18</v>
      </c>
      <c r="H28" s="4">
        <f>res_share_region_target*'LEAP Scenario'!H28</f>
        <v>0.36911627906976746</v>
      </c>
      <c r="I28" s="4">
        <f>res_share_region_target*'LEAP Scenario'!I28</f>
        <v>1.7533023255813955</v>
      </c>
      <c r="J28" s="4">
        <f>res_share_region_target*'LEAP Scenario'!J28</f>
        <v>2.8145116279069771</v>
      </c>
      <c r="K28" s="5">
        <f>res_share_region_target*'LEAP Scenario'!K28</f>
        <v>4.0141395348837214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157.65879069767439</v>
      </c>
      <c r="C30" s="8">
        <f>SUM(C24:C29)</f>
        <v>129.14455813953489</v>
      </c>
      <c r="D30" s="8">
        <f>SUM(D24:D29)</f>
        <v>110.87330232558139</v>
      </c>
      <c r="E30" s="9">
        <f>SUM(E24:E29)</f>
        <v>94.032372093023255</v>
      </c>
      <c r="G30" s="7" t="s">
        <v>12</v>
      </c>
      <c r="H30" s="8">
        <f>SUM(H24:H29)</f>
        <v>157.88948837209304</v>
      </c>
      <c r="I30" s="8">
        <f>SUM(I24:I29)</f>
        <v>116.96372093023257</v>
      </c>
      <c r="J30" s="8">
        <f>SUM(J24:J29)</f>
        <v>75.622697674418603</v>
      </c>
      <c r="K30" s="9">
        <f>SUM(K24:K29)</f>
        <v>30.267534883720934</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0.55367441860465116</v>
      </c>
      <c r="C49" s="20">
        <f>res_share_region_target*'LEAP Scenario'!C49</f>
        <v>2.5838139534883724</v>
      </c>
      <c r="D49" s="20">
        <f>res_share_region_target*'LEAP Scenario'!D49</f>
        <v>4.060279069767442</v>
      </c>
      <c r="E49" s="20">
        <f>res_share_region_target*'LEAP Scenario'!E49</f>
        <v>5.952</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234711.81395348842</v>
      </c>
      <c r="J21" s="63">
        <f>'2.Heat Targets'!C24</f>
        <v>196785.11627906977</v>
      </c>
      <c r="K21" s="63">
        <f>'2.Heat Targets'!D24</f>
        <v>162595.72093023258</v>
      </c>
      <c r="L21" s="64">
        <f>'2.Heat Targets'!E24</f>
        <v>110965.58139534883</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1873.2651162790696</v>
      </c>
      <c r="J22" s="63">
        <f>'2.Heat Targets'!C25</f>
        <v>10039.962790697675</v>
      </c>
      <c r="K22" s="63">
        <f>'2.Heat Targets'!D25</f>
        <v>19766.176744186047</v>
      </c>
      <c r="L22" s="64">
        <f>'2.Heat Targets'!E25</f>
        <v>21173.432558139535</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228667.53488372092</v>
      </c>
      <c r="J23" s="63">
        <f>'2.Heat Targets'!C26</f>
        <v>186680.5581395349</v>
      </c>
      <c r="K23" s="63">
        <f>'2.Heat Targets'!D26</f>
        <v>141186.97674418607</v>
      </c>
      <c r="L23" s="64">
        <f>'2.Heat Targets'!E26</f>
        <v>79544.558139534885</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2519.2186046511629</v>
      </c>
      <c r="J24" s="63">
        <f>'2.Heat Targets'!C27</f>
        <v>11516.427906976745</v>
      </c>
      <c r="K24" s="63">
        <f>'2.Heat Targets'!D27</f>
        <v>26161.116279069767</v>
      </c>
      <c r="L24" s="64">
        <f>'2.Heat Targets'!E27</f>
        <v>36542.511627906977</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5398.3255813954165</v>
      </c>
      <c r="J25" s="63">
        <f>'2.Heat Targets'!C28</f>
        <v>8628.093023255793</v>
      </c>
      <c r="K25" s="63">
        <f>'2.Heat Targets'!D28</f>
        <v>15013.804651162794</v>
      </c>
      <c r="L25" s="64">
        <f>'2.Heat Targets'!E28</f>
        <v>16051.944186046487</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31.012499999999999</v>
      </c>
      <c r="J26" s="308">
        <f>'2.Heat Targets'!C29</f>
        <v>0</v>
      </c>
      <c r="K26" s="308">
        <f>'2.Heat Targets'!D29</f>
        <v>0</v>
      </c>
      <c r="L26" s="308">
        <f>'2.Heat Targets'!E29</f>
        <v>0</v>
      </c>
      <c r="O26" s="308">
        <f>'2.Heat Targets'!B29</f>
        <v>31.012499999999999</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174.06934563145236</v>
      </c>
      <c r="J27" s="63">
        <f>'2.Heat Targets'!C30</f>
        <v>278.21339857334277</v>
      </c>
      <c r="K27" s="63">
        <f>'2.Heat Targets'!D30</f>
        <v>484.12106896131542</v>
      </c>
      <c r="L27" s="64">
        <f>'2.Heat Targets'!E30</f>
        <v>517.59594312120873</v>
      </c>
      <c r="O27" s="62">
        <f>O25/$O$26</f>
        <v>328.12171928069728</v>
      </c>
      <c r="P27" s="63">
        <f>P25/$O$26</f>
        <v>1421.0810431867487</v>
      </c>
      <c r="Q27" s="63">
        <f>Q25/$O$26</f>
        <v>2142.626656061685</v>
      </c>
      <c r="R27" s="64">
        <f>R25/$O$26</f>
        <v>4563.6777132935013</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1180</v>
      </c>
      <c r="J28" s="203">
        <f>'2.Heat Targets'!C31</f>
        <v>1250.8</v>
      </c>
      <c r="K28" s="203">
        <f>'2.Heat Targets'!D31</f>
        <v>1325.848</v>
      </c>
      <c r="L28" s="203">
        <f>'2.Heat Targets'!E31</f>
        <v>1405.39888</v>
      </c>
      <c r="O28" s="203">
        <f>'2.Heat Targets'!B31</f>
        <v>1180</v>
      </c>
      <c r="P28" s="203">
        <f>'2.Heat Targets'!C31</f>
        <v>1250.8</v>
      </c>
      <c r="Q28" s="203">
        <f>'2.Heat Targets'!D31</f>
        <v>1325.848</v>
      </c>
      <c r="R28" s="203">
        <f>'2.Heat Targets'!E31</f>
        <v>1405.39888</v>
      </c>
      <c r="T28" t="str">
        <f>'2.Heat Targets'!G31</f>
        <v>Enter a projection of the number of future residences in the area by each year.</v>
      </c>
    </row>
    <row r="29" spans="8:20" x14ac:dyDescent="0.25">
      <c r="I29" s="86">
        <f>'2.Heat Targets'!B32</f>
        <v>0.14751639460292573</v>
      </c>
      <c r="J29" s="87">
        <f>'2.Heat Targets'!C32</f>
        <v>0.22242836470526287</v>
      </c>
      <c r="K29" s="87">
        <f>'2.Heat Targets'!D32</f>
        <v>0.3651407016198806</v>
      </c>
      <c r="L29" s="88">
        <f>'2.Heat Targets'!E32</f>
        <v>0.36829113107106559</v>
      </c>
      <c r="O29" s="104">
        <f>O27/O28</f>
        <v>0.27806925362770957</v>
      </c>
      <c r="P29" s="105">
        <f>P27/P28</f>
        <v>1.1361377064172919</v>
      </c>
      <c r="Q29" s="105">
        <f>Q27/Q28</f>
        <v>1.6160424543851821</v>
      </c>
      <c r="R29" s="106">
        <f>R27/R28</f>
        <v>3.2472472962932071</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124.05</v>
      </c>
      <c r="J34" s="94">
        <f>'2.Heat Targets'!C54</f>
        <v>117.15194033957803</v>
      </c>
      <c r="K34" s="94">
        <f>'2.Heat Targets'!D54</f>
        <v>112.72607399101344</v>
      </c>
      <c r="L34" s="95">
        <f>'2.Heat Targets'!E54</f>
        <v>112.62837129765856</v>
      </c>
      <c r="O34" s="107">
        <f>'1.Current Heat'!B10</f>
        <v>124.05</v>
      </c>
      <c r="P34" s="108">
        <f>P29*($O$34-$O$26)+(1-P29)*$O$34</f>
        <v>88.815529379733732</v>
      </c>
      <c r="Q34" s="108">
        <f>Q29*($O$34-$O$26)+(1-Q29)*$O$34</f>
        <v>73.93248338337952</v>
      </c>
      <c r="R34" s="110">
        <f>R29*($O$34-$O$26)+(1-R29)*$O$34</f>
        <v>23.344743223706928</v>
      </c>
      <c r="T34" t="str">
        <f>'2.Heat Targets'!G54</f>
        <v>This is a projection of the average area residential heating load, in millions of Btu, computed based on values inputted above and in the "1.Current Heat" tab</v>
      </c>
    </row>
    <row r="35" spans="9:20" x14ac:dyDescent="0.25">
      <c r="I35" s="81">
        <f>'2.Heat Targets'!B55</f>
        <v>84343.069767441862</v>
      </c>
      <c r="J35" s="82">
        <f>'2.Heat Targets'!C55</f>
        <v>61227.162790697679</v>
      </c>
      <c r="K35" s="82">
        <f>'2.Heat Targets'!D55</f>
        <v>38941.767441860473</v>
      </c>
      <c r="L35" s="83">
        <f>'2.Heat Targets'!E55</f>
        <v>5859.7209302325591</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7.6586433260393888E-3</v>
      </c>
      <c r="J36" s="97">
        <f>'2.Heat Targets'!C56</f>
        <v>3.7678975131876416E-2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679.9118884920747</v>
      </c>
      <c r="J37" s="63">
        <f>'2.Heat Targets'!C57</f>
        <v>522.63037738191861</v>
      </c>
      <c r="K37" s="63">
        <f>'2.Heat Targets'!D57</f>
        <v>345.45483634039203</v>
      </c>
      <c r="L37" s="64">
        <f>'2.Heat Targets'!E57</f>
        <v>52.027041345970147</v>
      </c>
      <c r="O37" s="62">
        <f>O35/O34</f>
        <v>2248.6361290777486</v>
      </c>
      <c r="P37" s="62">
        <f>P35/P34</f>
        <v>2396.2554277438362</v>
      </c>
      <c r="Q37" s="62">
        <f>Q35/Q34</f>
        <v>2022.6670436530112</v>
      </c>
      <c r="R37" s="112">
        <f>R35/R34</f>
        <v>2109.9540569727633</v>
      </c>
      <c r="T37" t="str">
        <f>'2.Heat Targets'!G57</f>
        <v>This formula computes an estimate the number of residences using biofuel-blended heat energy in the 90x50 scenario based on values inputted in the "1.Current Heat" tab.</v>
      </c>
    </row>
    <row r="38" spans="9:20" x14ac:dyDescent="0.25">
      <c r="I38" s="65">
        <f>'2.Heat Targets'!B58</f>
        <v>0.57619651567124974</v>
      </c>
      <c r="J38" s="66">
        <f>'2.Heat Targets'!C58</f>
        <v>0.41783688629830401</v>
      </c>
      <c r="K38" s="66">
        <f>'2.Heat Targets'!D58</f>
        <v>0.26055387671919561</v>
      </c>
      <c r="L38" s="67">
        <f>'2.Heat Targets'!E58</f>
        <v>3.7019412841691003E-2</v>
      </c>
      <c r="O38" s="109">
        <f>O37/O28</f>
        <v>1.9056238382014818</v>
      </c>
      <c r="P38" s="109">
        <f>P37/P28</f>
        <v>1.9157782441188329</v>
      </c>
      <c r="Q38" s="109">
        <f>Q37/Q28</f>
        <v>1.5255648035468705</v>
      </c>
      <c r="R38" s="113">
        <f>R37/R28</f>
        <v>1.5013204343614983</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100353.48837209302</v>
      </c>
      <c r="J39" s="82">
        <f>'2.Heat Targets'!C59</f>
        <v>84112.372093023267</v>
      </c>
      <c r="K39" s="82">
        <f>'2.Heat Targets'!D59</f>
        <v>66671.627906976748</v>
      </c>
      <c r="L39" s="83">
        <f>'2.Heat Targets'!E59</f>
        <v>48261.953488372099</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808.97612553077806</v>
      </c>
      <c r="J40" s="63">
        <f>'2.Heat Targets'!C60</f>
        <v>717.97677314788064</v>
      </c>
      <c r="K40" s="63">
        <f>'2.Heat Targets'!D60</f>
        <v>591.44814989557642</v>
      </c>
      <c r="L40" s="64">
        <f>'2.Heat Targets'!E60</f>
        <v>428.50618305421079</v>
      </c>
      <c r="O40" s="62">
        <f>O39/O34</f>
        <v>1509.8860040917605</v>
      </c>
      <c r="P40" s="62">
        <f>P39/P34</f>
        <v>2178.0341236417244</v>
      </c>
      <c r="Q40" s="62">
        <f>Q39/Q34</f>
        <v>2639.6922811368877</v>
      </c>
      <c r="R40" s="112">
        <f>R39/R34</f>
        <v>8548.4034116627754</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0.6855729877379475</v>
      </c>
      <c r="J41" s="66">
        <f>'2.Heat Targets'!C61</f>
        <v>0.57401404952660751</v>
      </c>
      <c r="K41" s="66">
        <f>'2.Heat Targets'!D61</f>
        <v>0.44609046428819626</v>
      </c>
      <c r="L41" s="67">
        <f>'2.Heat Targets'!E61</f>
        <v>0.30490004592447861</v>
      </c>
      <c r="O41" s="109">
        <f>O40/O28</f>
        <v>1.2795644102472545</v>
      </c>
      <c r="P41" s="109">
        <f>P40/P28</f>
        <v>1.741312858683822</v>
      </c>
      <c r="Q41" s="109">
        <f>Q40/Q28</f>
        <v>1.9909463838516088</v>
      </c>
      <c r="R41" s="113">
        <f>R40/R28</f>
        <v>6.0825460538738838</v>
      </c>
      <c r="T41" t="str">
        <f>'2.Heat Targets'!G61</f>
        <v>This formula computes the estimated share of area residences using Wood heat  in the 90x50 scenario, based on values inputted in the "1.Current Heat" tab.</v>
      </c>
    </row>
    <row r="42" spans="9:20" x14ac:dyDescent="0.25">
      <c r="I42" s="81">
        <f>'2.Heat Targets'!B62</f>
        <v>1799.4418604651164</v>
      </c>
      <c r="J42" s="82">
        <f>'2.Heat Targets'!C62</f>
        <v>7197.7674418604656</v>
      </c>
      <c r="K42" s="82">
        <f>'2.Heat Targets'!D62</f>
        <v>14533.953488372093</v>
      </c>
      <c r="L42" s="83">
        <f>'2.Heat Targets'!E62</f>
        <v>18271.255813953489</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49.734098751842915</v>
      </c>
      <c r="J43" s="63">
        <f>'2.Heat Targets'!C63</f>
        <v>212.99058635127471</v>
      </c>
      <c r="K43" s="63">
        <f>'2.Heat Targets'!D63</f>
        <v>451.26061263659022</v>
      </c>
      <c r="L43" s="64">
        <f>'2.Heat Targets'!E63</f>
        <v>572.56253005106555</v>
      </c>
      <c r="O43" s="62">
        <f>O42/((0.7*O34)/2.4)</f>
        <v>167.69174578346787</v>
      </c>
      <c r="P43" s="112">
        <f>P42/((0.75*P34)/2.6)</f>
        <v>1106.9305754847917</v>
      </c>
      <c r="Q43" s="112">
        <f>Q42/((0.8*Q34)/2.8)</f>
        <v>3125.956826504947</v>
      </c>
      <c r="R43" s="64">
        <f>R42/((0.85*R34)/3)</f>
        <v>15050.727324077359</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4.2147541315121113E-2</v>
      </c>
      <c r="J44" s="66">
        <f>'2.Heat Targets'!C64</f>
        <v>0.17028348764892445</v>
      </c>
      <c r="K44" s="66">
        <f>'2.Heat Targets'!D64</f>
        <v>0.34035621929255105</v>
      </c>
      <c r="L44" s="67">
        <f>'2.Heat Targets'!E64</f>
        <v>0.40740215336664104</v>
      </c>
      <c r="O44" s="109">
        <f>O43/O28</f>
        <v>0.14211164896904058</v>
      </c>
      <c r="P44" s="109">
        <f>P43/P28</f>
        <v>0.88497807442020449</v>
      </c>
      <c r="Q44" s="109">
        <f>Q43/Q28</f>
        <v>2.3577037688369611</v>
      </c>
      <c r="R44" s="113">
        <f>R43/R28</f>
        <v>10.709221088946192</v>
      </c>
      <c r="T44" t="str">
        <f>'2.Heat Targets'!G64</f>
        <v>This formula computes the estimated share of area residences using Heat Pumps in the 90x50 scenario based on values inputted above and in the "1.Current Heat" tab.</v>
      </c>
    </row>
    <row r="45" spans="9:20" x14ac:dyDescent="0.25">
      <c r="I45" s="81">
        <f>'2.Heat Targets'!B65</f>
        <v>32620.651162790702</v>
      </c>
      <c r="J45" s="82">
        <f>'2.Heat Targets'!C65</f>
        <v>25515.162790697676</v>
      </c>
      <c r="K45" s="82">
        <f>'2.Heat Targets'!D65</f>
        <v>16333.395348837212</v>
      </c>
      <c r="L45" s="83">
        <f>'2.Heat Targets'!E65</f>
        <v>5721.3023255813951</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262.96373367828056</v>
      </c>
      <c r="J46" s="63">
        <f>'2.Heat Targets'!C66</f>
        <v>217.79547753745362</v>
      </c>
      <c r="K46" s="63">
        <f>'2.Heat Targets'!D66</f>
        <v>144.89456405746301</v>
      </c>
      <c r="L46" s="64">
        <f>'2.Heat Targets'!E66</f>
        <v>50.798056117325167</v>
      </c>
      <c r="O46" s="62">
        <f>O45/O34</f>
        <v>1910.7932345060146</v>
      </c>
      <c r="P46" s="62">
        <f>P45/P34</f>
        <v>2104.9678588146367</v>
      </c>
      <c r="Q46" s="62">
        <f>Q45/Q34</f>
        <v>1594.3758584953664</v>
      </c>
      <c r="R46" s="112">
        <f>R45/R34</f>
        <v>1281.8828710671351</v>
      </c>
      <c r="T46" t="str">
        <f>'2.Heat Targets'!G66</f>
        <v>This formula computes the estimates number of area residences using fossil heat in the 90x50 scenario based on values inputted in the "1.Current Heat" tab.</v>
      </c>
    </row>
    <row r="47" spans="9:20" x14ac:dyDescent="0.25">
      <c r="I47" s="65">
        <f>'2.Heat Targets'!B67</f>
        <v>0.22285062176125472</v>
      </c>
      <c r="J47" s="66">
        <f>'2.Heat Targets'!C67</f>
        <v>0.17412494206703999</v>
      </c>
      <c r="K47" s="66">
        <f>'2.Heat Targets'!D67</f>
        <v>0.10928444592250622</v>
      </c>
      <c r="L47" s="67">
        <f>'2.Heat Targets'!E67</f>
        <v>3.6144938522595926E-2</v>
      </c>
      <c r="O47" s="109">
        <f>O46/O28</f>
        <v>1.619316300428826</v>
      </c>
      <c r="P47" s="109">
        <f>P46/P28</f>
        <v>1.6828972328227028</v>
      </c>
      <c r="Q47" s="109">
        <f>Q46/Q28</f>
        <v>1.2025329136487488</v>
      </c>
      <c r="R47" s="113">
        <f>R46/R28</f>
        <v>0.91211320096337001</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N24" sqref="N24"/>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303</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4.7512764265803262E-3</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4.6139534883720933E-2</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5.1465182228757483E-3</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6.7169294037011648E-2</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38" sqref="B38"/>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152068.20794560606</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2023</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1287363.6363636365</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1171500.9090909092</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142054.442985</v>
      </c>
      <c r="C22" s="266" t="s">
        <v>66</v>
      </c>
      <c r="D22" s="266"/>
      <c r="E22" s="266"/>
      <c r="F22" s="266"/>
      <c r="G22" s="266"/>
      <c r="H22" s="266"/>
      <c r="I22" s="266"/>
      <c r="J22" s="266"/>
      <c r="K22" s="266"/>
      <c r="L22" s="266"/>
      <c r="M22" s="266"/>
      <c r="N22" s="266"/>
    </row>
    <row r="23" spans="1:14" ht="36" customHeight="1" x14ac:dyDescent="0.25">
      <c r="B23" s="120">
        <f>B18-B20</f>
        <v>115862.72727272729</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9814.7316272727294</v>
      </c>
      <c r="C25" s="266" t="s">
        <v>69</v>
      </c>
      <c r="D25" s="266"/>
      <c r="E25" s="266"/>
      <c r="F25" s="266"/>
      <c r="G25" s="266"/>
      <c r="H25" s="266"/>
      <c r="I25" s="266"/>
      <c r="J25" s="266"/>
      <c r="K25" s="266"/>
      <c r="L25" s="266"/>
      <c r="M25" s="266"/>
      <c r="N25" s="266"/>
    </row>
    <row r="26" spans="1:14" ht="36" customHeight="1" x14ac:dyDescent="0.25">
      <c r="B26" s="122">
        <f>B22+B25</f>
        <v>151869.17461227273</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25</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58333.333333333336</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199.03333333333333</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216195.78703739936</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1180</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124.05</v>
      </c>
      <c r="C10" s="273" t="s">
        <v>543</v>
      </c>
      <c r="D10" s="272"/>
      <c r="E10" s="272"/>
      <c r="F10" s="272"/>
      <c r="G10" s="272"/>
      <c r="H10" s="272"/>
      <c r="I10" s="272"/>
      <c r="J10" s="272"/>
      <c r="K10" s="272"/>
      <c r="L10" s="272"/>
      <c r="M10" s="272"/>
      <c r="N10" s="272"/>
      <c r="O10" s="212">
        <f>SUM('2.Heat Targets'!E58,'2.Heat Targets'!E61,'2.Heat Targets'!E64,'2.Heat Targets'!E67)</f>
        <v>0.7854665506554066</v>
      </c>
    </row>
    <row r="11" spans="1:15" ht="42.75" customHeight="1" x14ac:dyDescent="0.25">
      <c r="B11" s="54"/>
      <c r="C11" s="59"/>
      <c r="D11" s="33" t="s">
        <v>58</v>
      </c>
      <c r="E11" s="272" t="s">
        <v>86</v>
      </c>
      <c r="F11" s="272"/>
      <c r="G11" s="272"/>
      <c r="H11" s="272"/>
      <c r="I11" s="272"/>
      <c r="J11" s="272"/>
      <c r="K11" s="272"/>
      <c r="L11" s="272"/>
      <c r="M11" s="272"/>
      <c r="N11" s="272"/>
    </row>
    <row r="12" spans="1:15" ht="42.75" customHeight="1" x14ac:dyDescent="0.25">
      <c r="B12" s="56"/>
      <c r="C12" s="60"/>
      <c r="D12" s="34">
        <v>0.26</v>
      </c>
      <c r="E12" s="272" t="s">
        <v>83</v>
      </c>
      <c r="F12" s="272"/>
      <c r="G12" s="272"/>
      <c r="H12" s="272"/>
      <c r="I12" s="272"/>
      <c r="J12" s="272"/>
      <c r="K12" s="272"/>
      <c r="L12" s="272"/>
      <c r="M12" s="272"/>
      <c r="N12" s="272"/>
    </row>
    <row r="13" spans="1:15" ht="42.75" customHeight="1" x14ac:dyDescent="0.25">
      <c r="B13" s="56"/>
      <c r="C13" s="60"/>
      <c r="D13" s="34">
        <v>0.5</v>
      </c>
      <c r="E13" s="272" t="s">
        <v>84</v>
      </c>
      <c r="F13" s="272"/>
      <c r="G13" s="272"/>
      <c r="H13" s="272"/>
      <c r="I13" s="272"/>
      <c r="J13" s="272"/>
      <c r="K13" s="272"/>
      <c r="L13" s="272"/>
      <c r="M13" s="272"/>
      <c r="N13" s="272"/>
    </row>
    <row r="14" spans="1:15" ht="42.75" customHeight="1" x14ac:dyDescent="0.25">
      <c r="B14" s="56"/>
      <c r="C14" s="60"/>
      <c r="D14" s="34">
        <v>0.2</v>
      </c>
      <c r="E14" s="272" t="s">
        <v>85</v>
      </c>
      <c r="F14" s="272"/>
      <c r="G14" s="272"/>
      <c r="H14" s="272"/>
      <c r="I14" s="272"/>
      <c r="J14" s="272"/>
      <c r="K14" s="272"/>
      <c r="L14" s="272"/>
      <c r="M14" s="272"/>
      <c r="N14" s="272"/>
    </row>
    <row r="15" spans="1:15" ht="42.75" customHeight="1" x14ac:dyDescent="0.25">
      <c r="B15" s="56"/>
      <c r="C15" s="60"/>
      <c r="D15" s="35">
        <v>2.2999999999999998</v>
      </c>
      <c r="E15" s="272" t="s">
        <v>87</v>
      </c>
      <c r="F15" s="272"/>
      <c r="G15" s="272"/>
      <c r="H15" s="272"/>
      <c r="I15" s="272"/>
      <c r="J15" s="272"/>
      <c r="K15" s="272"/>
      <c r="L15" s="272"/>
      <c r="M15" s="272"/>
      <c r="N15" s="272"/>
    </row>
    <row r="16" spans="1:15" ht="42.75" customHeight="1" x14ac:dyDescent="0.25">
      <c r="B16" s="56"/>
      <c r="C16" s="60"/>
      <c r="D16" s="34">
        <f>(20000*1.25)/257000</f>
        <v>9.727626459143969E-2</v>
      </c>
      <c r="E16" s="272" t="s">
        <v>93</v>
      </c>
      <c r="F16" s="272"/>
      <c r="G16" s="272"/>
      <c r="H16" s="272"/>
      <c r="I16" s="272"/>
      <c r="J16" s="272"/>
      <c r="K16" s="272"/>
      <c r="L16" s="272"/>
      <c r="M16" s="272"/>
      <c r="N16" s="272"/>
    </row>
    <row r="17" spans="1:17" x14ac:dyDescent="0.25">
      <c r="B17" s="56"/>
      <c r="C17" s="27"/>
      <c r="F17" s="26"/>
      <c r="G17" s="27"/>
      <c r="H17" s="27"/>
      <c r="I17" s="27"/>
      <c r="J17" s="27"/>
      <c r="K17" s="27"/>
      <c r="L17" s="27"/>
    </row>
    <row r="18" spans="1:17" ht="42.75" customHeight="1" x14ac:dyDescent="0.25">
      <c r="B18" s="55">
        <f>B8*B10</f>
        <v>146379</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98</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712.41619425917702</v>
      </c>
      <c r="C24" s="274" t="s">
        <v>541</v>
      </c>
      <c r="D24" s="275"/>
      <c r="E24" s="275"/>
      <c r="F24" s="275"/>
      <c r="G24" s="275"/>
      <c r="H24" s="275"/>
      <c r="I24" s="275"/>
      <c r="J24" s="275"/>
      <c r="K24" s="275"/>
      <c r="L24" s="275"/>
      <c r="M24" s="275"/>
      <c r="N24" s="275"/>
      <c r="O24" s="212">
        <f ca="1">SUM('2.Heat Targets'!E76,'2.Heat Targets'!E79,'2.Heat Targets'!E82,'2.Heat Targets'!E85)</f>
        <v>0.69262245319465476</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5</v>
      </c>
      <c r="L27" s="39">
        <f t="shared" ref="L27:L40" ca="1" si="1">IF(K27="","",K27/$K$41)</f>
        <v>5.1020408163265307E-2</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27</v>
      </c>
      <c r="L28" s="41">
        <f t="shared" ca="1" si="1"/>
        <v>0.27551020408163263</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4</v>
      </c>
      <c r="L29" s="41">
        <f t="shared" ca="1" si="1"/>
        <v>4.0816326530612242E-2</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2</v>
      </c>
      <c r="L30" s="41">
        <f t="shared" ca="1" si="1"/>
        <v>2.0408163265306121E-2</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3</v>
      </c>
      <c r="L31" s="41">
        <f t="shared" ca="1" si="1"/>
        <v>3.0612244897959183E-2</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3</v>
      </c>
      <c r="L32" s="41">
        <f t="shared" ca="1" si="1"/>
        <v>3.0612244897959183E-2</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17</v>
      </c>
      <c r="L33" s="41">
        <f t="shared" ca="1" si="1"/>
        <v>0.17346938775510204</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4</v>
      </c>
      <c r="L35" s="41">
        <f t="shared" ca="1" si="1"/>
        <v>4.0816326530612242E-2</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5</v>
      </c>
      <c r="L36" s="41">
        <f t="shared" ca="1" si="1"/>
        <v>5.1020408163265307E-2</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11</v>
      </c>
      <c r="L37" s="41">
        <f t="shared" ca="1" si="1"/>
        <v>0.11224489795918367</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1</v>
      </c>
      <c r="L38" s="41">
        <f t="shared" ca="1" si="1"/>
        <v>1.020408163265306E-2</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7</v>
      </c>
      <c r="L39" s="41">
        <f t="shared" ca="1" si="1"/>
        <v>7.1428571428571425E-2</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9</v>
      </c>
      <c r="L40" s="41">
        <f t="shared" ca="1" si="1"/>
        <v>9.1836734693877556E-2</v>
      </c>
      <c r="Q40" s="23"/>
    </row>
    <row r="41" spans="2:19" ht="33" customHeight="1" x14ac:dyDescent="0.25">
      <c r="B41" s="54"/>
      <c r="D41" s="42"/>
      <c r="E41" s="185">
        <f>SUM(E27:E40)</f>
        <v>18617</v>
      </c>
      <c r="F41" s="185"/>
      <c r="G41" s="185">
        <f>SUM(G27:G40)</f>
        <v>201453</v>
      </c>
      <c r="H41" s="43"/>
      <c r="I41" s="44">
        <v>13000000</v>
      </c>
      <c r="J41" s="43"/>
      <c r="K41" s="185">
        <f ca="1">SUM(K27:K40)</f>
        <v>98</v>
      </c>
      <c r="L41" s="45">
        <f ca="1">SUMPRODUCT(J27:J40,L27:L40)</f>
        <v>712.41619425917702</v>
      </c>
      <c r="M41" s="278" t="s">
        <v>542</v>
      </c>
      <c r="N41" s="279"/>
      <c r="O41" s="279"/>
      <c r="P41" s="279"/>
      <c r="Q41" s="279"/>
      <c r="R41" s="279"/>
      <c r="S41" s="279"/>
    </row>
    <row r="42" spans="2:19" ht="22.5" customHeight="1" x14ac:dyDescent="0.25">
      <c r="B42" s="54"/>
    </row>
    <row r="43" spans="2:19" ht="37.5" customHeight="1" x14ac:dyDescent="0.25">
      <c r="B43" s="55">
        <f ca="1">B22*B24</f>
        <v>69816.78703739935</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5.7102854027769774E-3</v>
      </c>
      <c r="C45" s="266" t="s">
        <v>489</v>
      </c>
      <c r="D45" s="266"/>
      <c r="E45" s="266"/>
      <c r="F45" s="266"/>
      <c r="G45" s="266"/>
      <c r="H45" s="266"/>
      <c r="I45" s="266"/>
      <c r="J45" s="266"/>
      <c r="K45" s="266"/>
      <c r="L45" s="266"/>
      <c r="M45" s="266"/>
      <c r="N45" s="266"/>
      <c r="O45" s="266"/>
    </row>
    <row r="52" spans="4:4" x14ac:dyDescent="0.25">
      <c r="D52" s="23"/>
    </row>
  </sheetData>
  <mergeCells count="17">
    <mergeCell ref="E13:N13"/>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15" zoomScale="70" zoomScaleNormal="70" workbookViewId="0">
      <selection activeCell="E31" sqref="E31"/>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234711.81395348842</v>
      </c>
      <c r="C24" s="129">
        <f>'LEAP Region'!C14*1000</f>
        <v>196785.11627906977</v>
      </c>
      <c r="D24" s="129">
        <f>'LEAP Region'!D14*1000</f>
        <v>162595.72093023258</v>
      </c>
      <c r="E24" s="130">
        <f>'LEAP Region'!E14*1000</f>
        <v>110965.58139534883</v>
      </c>
      <c r="G24" s="281" t="s">
        <v>122</v>
      </c>
      <c r="H24" s="281"/>
      <c r="I24" s="281"/>
      <c r="J24" s="281"/>
      <c r="K24" s="281"/>
      <c r="L24" s="281"/>
      <c r="M24" s="281"/>
      <c r="N24" s="281"/>
    </row>
    <row r="25" spans="2:18" ht="56.25" customHeight="1" x14ac:dyDescent="0.25">
      <c r="B25" s="178">
        <f>('LEAP Region'!B7+'LEAP Region'!B8)*(2.4-1)*1000</f>
        <v>1873.2651162790696</v>
      </c>
      <c r="C25" s="179">
        <f>('LEAP Region'!C7+'LEAP Region'!C8)*(2.6-1)*1000</f>
        <v>10039.962790697675</v>
      </c>
      <c r="D25" s="179">
        <f>('LEAP Region'!D7+'LEAP Region'!D8)*(2.8-1)*1000</f>
        <v>19766.176744186047</v>
      </c>
      <c r="E25" s="180">
        <f>('LEAP Region'!E7+'LEAP Region'!E8)*(2.3-1)*1000</f>
        <v>21173.432558139535</v>
      </c>
      <c r="G25" s="281" t="s">
        <v>178</v>
      </c>
      <c r="H25" s="281"/>
      <c r="I25" s="281"/>
      <c r="J25" s="281"/>
      <c r="K25" s="281"/>
      <c r="L25" s="281"/>
      <c r="M25" s="281"/>
      <c r="N25" s="281"/>
    </row>
    <row r="26" spans="2:18" ht="56.25" customHeight="1" x14ac:dyDescent="0.25">
      <c r="B26" s="128">
        <f>'LEAP Region'!H14*1000</f>
        <v>228667.53488372092</v>
      </c>
      <c r="C26" s="129">
        <f>'LEAP Region'!I14*1000</f>
        <v>186680.5581395349</v>
      </c>
      <c r="D26" s="129">
        <f>'LEAP Region'!J14*1000</f>
        <v>141186.97674418607</v>
      </c>
      <c r="E26" s="130">
        <f>'LEAP Region'!K14*1000</f>
        <v>79544.558139534885</v>
      </c>
      <c r="G26" s="281" t="s">
        <v>123</v>
      </c>
      <c r="H26" s="281"/>
      <c r="I26" s="281"/>
      <c r="J26" s="281"/>
      <c r="K26" s="281"/>
      <c r="L26" s="281"/>
      <c r="M26" s="281"/>
      <c r="N26" s="281"/>
    </row>
    <row r="27" spans="2:18" ht="56.25" customHeight="1" thickBot="1" x14ac:dyDescent="0.3">
      <c r="B27" s="181">
        <f>('LEAP Region'!H7+'LEAP Region'!H8)*(2.4-1)*1000</f>
        <v>2519.2186046511629</v>
      </c>
      <c r="C27" s="182">
        <f>('LEAP Region'!I7+'LEAP Region'!I8)*(2.6-1)*1000</f>
        <v>11516.427906976745</v>
      </c>
      <c r="D27" s="182">
        <f>('LEAP Region'!J7+'LEAP Region'!J8)*(2.8-1)*1000</f>
        <v>26161.116279069767</v>
      </c>
      <c r="E27" s="183">
        <f>('LEAP Region'!K7+'LEAP Region'!K8)*(3-1)*1000</f>
        <v>36542.511627906977</v>
      </c>
      <c r="G27" s="281" t="s">
        <v>178</v>
      </c>
      <c r="H27" s="281"/>
      <c r="I27" s="281"/>
      <c r="J27" s="281"/>
      <c r="K27" s="281"/>
      <c r="L27" s="281"/>
      <c r="M27" s="281"/>
      <c r="N27" s="281"/>
    </row>
    <row r="28" spans="2:18" ht="56.25" customHeight="1" thickTop="1" x14ac:dyDescent="0.25">
      <c r="B28" s="128">
        <f>B24+B25-B26-B27</f>
        <v>5398.3255813954165</v>
      </c>
      <c r="C28" s="129">
        <f>C24+C25-C26-C27</f>
        <v>8628.093023255793</v>
      </c>
      <c r="D28" s="129">
        <f>D24+D25-D26-D27</f>
        <v>15013.804651162794</v>
      </c>
      <c r="E28" s="130">
        <f>E24+E25-E26-E27</f>
        <v>16051.944186046487</v>
      </c>
      <c r="G28" s="281" t="s">
        <v>177</v>
      </c>
      <c r="H28" s="281"/>
      <c r="I28" s="281"/>
      <c r="J28" s="281"/>
      <c r="K28" s="281"/>
      <c r="L28" s="281"/>
      <c r="M28" s="281"/>
      <c r="N28" s="281"/>
    </row>
    <row r="29" spans="2:18" ht="56.25" customHeight="1" x14ac:dyDescent="0.25">
      <c r="B29" s="282">
        <f>0.25*'1.Current Heat'!B10</f>
        <v>31.012499999999999</v>
      </c>
      <c r="C29" s="283"/>
      <c r="D29" s="283"/>
      <c r="E29" s="284"/>
      <c r="G29" s="281" t="s">
        <v>124</v>
      </c>
      <c r="H29" s="281"/>
      <c r="I29" s="281"/>
      <c r="J29" s="281"/>
      <c r="K29" s="281"/>
      <c r="L29" s="281"/>
      <c r="M29" s="281"/>
      <c r="N29" s="281"/>
      <c r="R29">
        <v>60</v>
      </c>
    </row>
    <row r="30" spans="2:18" ht="56.25" customHeight="1" x14ac:dyDescent="0.25">
      <c r="B30" s="128">
        <f>B28/$B$29</f>
        <v>174.06934563145236</v>
      </c>
      <c r="C30" s="129">
        <f>C28/$B$29</f>
        <v>278.21339857334277</v>
      </c>
      <c r="D30" s="129">
        <f>D28/$B$29</f>
        <v>484.12106896131542</v>
      </c>
      <c r="E30" s="130">
        <f>E28/$B$29</f>
        <v>517.59594312120873</v>
      </c>
      <c r="G30" s="281" t="s">
        <v>125</v>
      </c>
      <c r="H30" s="281"/>
      <c r="I30" s="281"/>
      <c r="J30" s="281"/>
      <c r="K30" s="281"/>
      <c r="L30" s="281"/>
      <c r="M30" s="281"/>
      <c r="N30" s="281"/>
      <c r="R30">
        <v>96</v>
      </c>
    </row>
    <row r="31" spans="2:18" ht="56.25" customHeight="1" x14ac:dyDescent="0.25">
      <c r="B31" s="131">
        <f>'1.Current Heat'!B8</f>
        <v>1180</v>
      </c>
      <c r="C31" s="132">
        <f t="shared" ref="C31:E31" si="0">B31*1.06</f>
        <v>1250.8</v>
      </c>
      <c r="D31" s="132">
        <f t="shared" si="0"/>
        <v>1325.848</v>
      </c>
      <c r="E31" s="133">
        <f t="shared" si="0"/>
        <v>1405.39888</v>
      </c>
      <c r="G31" s="281" t="s">
        <v>126</v>
      </c>
      <c r="H31" s="281"/>
      <c r="I31" s="281"/>
      <c r="J31" s="281"/>
      <c r="K31" s="281"/>
      <c r="L31" s="281"/>
      <c r="M31" s="281"/>
      <c r="N31" s="281"/>
      <c r="O31" s="186">
        <f>(E31/B31)^(1/(E23-B23))-1</f>
        <v>5.006971033976404E-3</v>
      </c>
      <c r="R31">
        <f>R29+R30</f>
        <v>156</v>
      </c>
    </row>
    <row r="32" spans="2:18" ht="56.25" customHeight="1" x14ac:dyDescent="0.25">
      <c r="B32" s="134">
        <f>B30/B31</f>
        <v>0.14751639460292573</v>
      </c>
      <c r="C32" s="135">
        <f>C30/C31</f>
        <v>0.22242836470526287</v>
      </c>
      <c r="D32" s="135">
        <f>D30/D31</f>
        <v>0.3651407016198806</v>
      </c>
      <c r="E32" s="136">
        <f>E30/E31</f>
        <v>0.36829113107106559</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60519.533927347489</v>
      </c>
      <c r="C37" s="129">
        <f>('LEAP Region'!O11-'LEAP Region'!O6)*1000</f>
        <v>57564.084989718976</v>
      </c>
      <c r="D37" s="129">
        <f>('LEAP Region'!P11-'LEAP Region'!P6)*1000</f>
        <v>53265.250171350257</v>
      </c>
      <c r="E37" s="130">
        <f>('LEAP Region'!Q11-'LEAP Region'!Q6)*1000</f>
        <v>47287.183002056205</v>
      </c>
      <c r="G37" s="281" t="s">
        <v>179</v>
      </c>
      <c r="H37" s="281"/>
      <c r="I37" s="281"/>
      <c r="J37" s="281"/>
      <c r="K37" s="281"/>
      <c r="L37" s="281"/>
      <c r="M37" s="281"/>
      <c r="N37" s="281"/>
    </row>
    <row r="38" spans="2:34" ht="56.25" customHeight="1" x14ac:dyDescent="0.25">
      <c r="B38" s="128">
        <f>'LEAP Region'!N6*1000</f>
        <v>50645.647703906783</v>
      </c>
      <c r="C38" s="129">
        <f>'LEAP Region'!O6*1000</f>
        <v>53869.773817683337</v>
      </c>
      <c r="D38" s="129">
        <f>'LEAP Region'!P6*1000</f>
        <v>56220.699108978748</v>
      </c>
      <c r="E38" s="130">
        <f>'LEAP Region'!Q6*1000</f>
        <v>61191.226867717611</v>
      </c>
      <c r="F38" s="184"/>
      <c r="G38" s="281" t="s">
        <v>97</v>
      </c>
      <c r="H38" s="281"/>
      <c r="I38" s="281"/>
      <c r="J38" s="281"/>
      <c r="K38" s="281"/>
      <c r="L38" s="281"/>
      <c r="M38" s="281"/>
      <c r="N38" s="281"/>
    </row>
    <row r="39" spans="2:34" ht="56.25" customHeight="1" x14ac:dyDescent="0.25">
      <c r="B39" s="128">
        <f>0.005*B38</f>
        <v>253.22823851953393</v>
      </c>
      <c r="C39" s="129">
        <f>B39-(($B$39-$E$39)/3)</f>
        <v>1188.6726068083162</v>
      </c>
      <c r="D39" s="129">
        <f>C39-(($B$39-$E$39)/3)</f>
        <v>2124.1169750970985</v>
      </c>
      <c r="E39" s="130">
        <f>0.05*E38</f>
        <v>3059.5613433858807</v>
      </c>
      <c r="G39" s="281" t="s">
        <v>195</v>
      </c>
      <c r="H39" s="281"/>
      <c r="I39" s="281"/>
      <c r="J39" s="281"/>
      <c r="K39" s="281"/>
      <c r="L39" s="281"/>
      <c r="M39" s="281"/>
      <c r="N39" s="281"/>
      <c r="V39" s="21"/>
      <c r="W39" s="21"/>
      <c r="X39" s="21"/>
      <c r="Y39" s="21"/>
      <c r="AH39" s="21"/>
    </row>
    <row r="40" spans="2:34" ht="56.25" customHeight="1" x14ac:dyDescent="0.25">
      <c r="B40" s="142">
        <f>B39*(2.4-1)</f>
        <v>354.51953392734748</v>
      </c>
      <c r="C40" s="143">
        <f>C39*(2.6-1)</f>
        <v>1901.8761708933062</v>
      </c>
      <c r="D40" s="143">
        <f>D39*(2.8-1)</f>
        <v>3823.4105551747771</v>
      </c>
      <c r="E40" s="144">
        <f>E39*(3-1)</f>
        <v>6119.1226867717614</v>
      </c>
      <c r="G40" s="281" t="s">
        <v>196</v>
      </c>
      <c r="H40" s="281"/>
      <c r="I40" s="281"/>
      <c r="J40" s="281"/>
      <c r="K40" s="281"/>
      <c r="L40" s="281"/>
      <c r="M40" s="281"/>
      <c r="N40" s="281"/>
      <c r="V40" s="21"/>
      <c r="W40" s="21"/>
      <c r="X40" s="21"/>
      <c r="Y40" s="21"/>
      <c r="AH40" s="21"/>
    </row>
    <row r="41" spans="2:34" ht="56.25" customHeight="1" x14ac:dyDescent="0.25">
      <c r="B41" s="128">
        <f>('LEAP Region'!T11-'LEAP Region'!T6)*1000</f>
        <v>60318.026045236467</v>
      </c>
      <c r="C41" s="129">
        <f>('LEAP Region'!U11-'LEAP Region'!U6)*1000</f>
        <v>56086.360520904738</v>
      </c>
      <c r="D41" s="129">
        <f>('LEAP Region'!V11-'LEAP Region'!V6)*1000</f>
        <v>50444.139821795776</v>
      </c>
      <c r="E41" s="130">
        <f>('LEAP Region'!W11-'LEAP Region'!W6)*1000</f>
        <v>42316.655243317342</v>
      </c>
      <c r="G41" s="281" t="s">
        <v>197</v>
      </c>
      <c r="H41" s="281"/>
      <c r="I41" s="281"/>
      <c r="J41" s="281"/>
      <c r="K41" s="281"/>
      <c r="L41" s="281"/>
      <c r="M41" s="281"/>
      <c r="N41" s="281"/>
      <c r="AH41" s="21"/>
    </row>
    <row r="42" spans="2:34" ht="56.25" customHeight="1" x14ac:dyDescent="0.25">
      <c r="B42" s="128">
        <f>'LEAP Region'!T6*1000</f>
        <v>49973.954763536669</v>
      </c>
      <c r="C42" s="129">
        <f>'LEAP Region'!U6*1000</f>
        <v>49503.769705277584</v>
      </c>
      <c r="D42" s="129">
        <f>'LEAP Region'!V6*1000</f>
        <v>47958.875942426319</v>
      </c>
      <c r="E42" s="130">
        <f>'LEAP Region'!W6*1000</f>
        <v>46481.151473612059</v>
      </c>
      <c r="G42" s="281" t="s">
        <v>98</v>
      </c>
      <c r="H42" s="281"/>
      <c r="I42" s="281"/>
      <c r="J42" s="281"/>
      <c r="K42" s="281"/>
      <c r="L42" s="281"/>
      <c r="M42" s="281"/>
      <c r="N42" s="281"/>
      <c r="V42" s="29"/>
      <c r="W42" s="29"/>
      <c r="X42" s="29"/>
      <c r="Y42" s="29"/>
      <c r="AH42" s="21"/>
    </row>
    <row r="43" spans="2:34" ht="56.25" customHeight="1" x14ac:dyDescent="0.25">
      <c r="B43" s="128">
        <f>B39</f>
        <v>253.22823851953393</v>
      </c>
      <c r="C43" s="129">
        <f>B43-(($B$43-$E$43)/3)</f>
        <v>1426.5265402482678</v>
      </c>
      <c r="D43" s="129">
        <f>C43-(($B$43-$E$43)/3)</f>
        <v>2599.8248419770016</v>
      </c>
      <c r="E43" s="130">
        <f>0.8*((E37+E39+E40-E41)/3)</f>
        <v>3773.1231437057354</v>
      </c>
      <c r="G43" s="281" t="s">
        <v>142</v>
      </c>
      <c r="H43" s="281"/>
      <c r="I43" s="281"/>
      <c r="J43" s="281"/>
      <c r="K43" s="281"/>
      <c r="L43" s="281"/>
      <c r="M43" s="281"/>
      <c r="N43" s="281"/>
      <c r="AH43" s="21"/>
    </row>
    <row r="44" spans="2:34" ht="56.25" customHeight="1" x14ac:dyDescent="0.25">
      <c r="B44" s="128">
        <f>B43*(2.4-1)</f>
        <v>354.51953392734748</v>
      </c>
      <c r="C44" s="129">
        <f>C43*(2.6-1)</f>
        <v>2282.4424643972284</v>
      </c>
      <c r="D44" s="129">
        <f>D43*(2.8-1)</f>
        <v>4679.684715558602</v>
      </c>
      <c r="E44" s="130">
        <f>E43*(3-1)</f>
        <v>7546.2462874114708</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201.50788211102491</v>
      </c>
      <c r="C45" s="129">
        <f>C37+C39+C40-C41-C43-C44</f>
        <v>859.30424187036624</v>
      </c>
      <c r="D45" s="129">
        <f>D37+D39+D40-D41-D43-D44</f>
        <v>1489.1283222907578</v>
      </c>
      <c r="E45" s="130">
        <f>E37+E39+E40-E41-E43-E44</f>
        <v>2829.842357779301</v>
      </c>
      <c r="F45" s="92"/>
      <c r="G45" s="281" t="s">
        <v>149</v>
      </c>
      <c r="H45" s="281"/>
      <c r="I45" s="281"/>
      <c r="J45" s="281"/>
      <c r="K45" s="281"/>
      <c r="L45" s="281"/>
      <c r="M45" s="281"/>
      <c r="N45" s="281"/>
      <c r="R45">
        <v>6</v>
      </c>
      <c r="AH45" s="21"/>
    </row>
    <row r="46" spans="2:34" ht="56.25" customHeight="1" x14ac:dyDescent="0.25">
      <c r="B46" s="285">
        <f ca="1">0.2*'1.Current Heat'!B24</f>
        <v>142.48323885183541</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1.4142567486170614</v>
      </c>
      <c r="C47" s="129">
        <f ca="1">C45/$B$46</f>
        <v>6.0309145748991169</v>
      </c>
      <c r="D47" s="129">
        <f ca="1">D45/$B$46</f>
        <v>10.451252612521417</v>
      </c>
      <c r="E47" s="130">
        <f ca="1">E45/$B$46</f>
        <v>19.860878939746591</v>
      </c>
      <c r="G47" s="281" t="s">
        <v>128</v>
      </c>
      <c r="H47" s="281"/>
      <c r="I47" s="281"/>
      <c r="J47" s="281"/>
      <c r="K47" s="281"/>
      <c r="L47" s="281"/>
      <c r="M47" s="281"/>
      <c r="N47" s="281"/>
    </row>
    <row r="48" spans="2:34" ht="56.25" customHeight="1" x14ac:dyDescent="0.25">
      <c r="B48" s="131">
        <f ca="1">'1.Current Heat'!B22</f>
        <v>98</v>
      </c>
      <c r="C48" s="132">
        <f t="shared" ref="C48:E48" ca="1" si="1">B48*1.06</f>
        <v>103.88000000000001</v>
      </c>
      <c r="D48" s="132">
        <f t="shared" ca="1" si="1"/>
        <v>110.11280000000002</v>
      </c>
      <c r="E48" s="133">
        <f t="shared" ca="1" si="1"/>
        <v>116.71956800000002</v>
      </c>
      <c r="G48" s="281" t="s">
        <v>194</v>
      </c>
      <c r="H48" s="281"/>
      <c r="I48" s="281"/>
      <c r="J48" s="281"/>
      <c r="K48" s="281"/>
      <c r="L48" s="281"/>
      <c r="M48" s="281"/>
      <c r="N48" s="281"/>
      <c r="O48" s="186">
        <f ca="1">(E48/B48)^(1/(E36-B36))-1</f>
        <v>5.006971033976404E-3</v>
      </c>
    </row>
    <row r="49" spans="1:14" ht="56.25" customHeight="1" x14ac:dyDescent="0.25">
      <c r="B49" s="134">
        <f ca="1">B47/B48</f>
        <v>1.4431191312418995E-2</v>
      </c>
      <c r="C49" s="135">
        <f ca="1">C47/C48</f>
        <v>5.8056551548894074E-2</v>
      </c>
      <c r="D49" s="135">
        <f ca="1">D47/D48</f>
        <v>9.4914057335036564E-2</v>
      </c>
      <c r="E49" s="136">
        <f ca="1">E47/E48</f>
        <v>0.17015894832429973</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124.05</v>
      </c>
      <c r="C54" s="147">
        <f>C32*($B$54-$B$29)+(1-C32)*$B$54</f>
        <v>117.15194033957803</v>
      </c>
      <c r="D54" s="147">
        <f>D32*($B$54-$B$29)+(1-D32)*$B$54</f>
        <v>112.72607399101344</v>
      </c>
      <c r="E54" s="148">
        <f>E32*($B$54-$B$29)+(1-E32)*$B$54</f>
        <v>112.62837129765856</v>
      </c>
      <c r="F54" s="1"/>
      <c r="G54" s="281" t="s">
        <v>109</v>
      </c>
      <c r="H54" s="281"/>
      <c r="I54" s="281"/>
      <c r="J54" s="281"/>
      <c r="K54" s="281"/>
      <c r="L54" s="281"/>
      <c r="M54" s="281"/>
      <c r="N54" s="281"/>
    </row>
    <row r="55" spans="1:14" ht="56.25" customHeight="1" x14ac:dyDescent="0.25">
      <c r="B55" s="149">
        <f>('LEAP Region'!H4+'LEAP Region'!H9+'LEAP Region'!H12)*1000</f>
        <v>84343.069767441862</v>
      </c>
      <c r="C55" s="150">
        <f>('LEAP Region'!I4+'LEAP Region'!I9+'LEAP Region'!I12)*1000</f>
        <v>61227.162790697679</v>
      </c>
      <c r="D55" s="150">
        <f>('LEAP Region'!J4+'LEAP Region'!J9+'LEAP Region'!J12)*1000</f>
        <v>38941.767441860473</v>
      </c>
      <c r="E55" s="151">
        <f>('LEAP Region'!K4+'LEAP Region'!K9+'LEAP Region'!K12)*1000</f>
        <v>5859.7209302325591</v>
      </c>
      <c r="G55" s="281" t="s">
        <v>110</v>
      </c>
      <c r="H55" s="281"/>
      <c r="I55" s="281"/>
      <c r="J55" s="281"/>
      <c r="K55" s="281"/>
      <c r="L55" s="281"/>
      <c r="M55" s="281"/>
      <c r="N55" s="281"/>
    </row>
    <row r="56" spans="1:14" ht="56.25" customHeight="1" x14ac:dyDescent="0.25">
      <c r="B56" s="152">
        <f>'LEAP Region'!H4*1000/'2.Heat Targets'!B55</f>
        <v>7.6586433260393888E-3</v>
      </c>
      <c r="C56" s="153">
        <f>'LEAP Region'!I4*1000/'2.Heat Targets'!C55</f>
        <v>3.7678975131876416E-2</v>
      </c>
      <c r="D56" s="153">
        <f>'LEAP Region'!J4*1000/'2.Heat Targets'!D55</f>
        <v>9.7156398104265393E-2</v>
      </c>
      <c r="E56" s="154">
        <f>'LEAP Region'!K4*1000/'2.Heat Targets'!E55</f>
        <v>1</v>
      </c>
      <c r="G56" s="281" t="s">
        <v>137</v>
      </c>
      <c r="H56" s="281"/>
      <c r="I56" s="281"/>
      <c r="J56" s="281"/>
      <c r="K56" s="281"/>
      <c r="L56" s="281"/>
      <c r="M56" s="281"/>
      <c r="N56" s="281"/>
    </row>
    <row r="57" spans="1:14" ht="56.25" customHeight="1" x14ac:dyDescent="0.25">
      <c r="B57" s="128">
        <f>B55/B54</f>
        <v>679.9118884920747</v>
      </c>
      <c r="C57" s="129">
        <f>C55/C54</f>
        <v>522.63037738191861</v>
      </c>
      <c r="D57" s="129">
        <f>D55/D54</f>
        <v>345.45483634039203</v>
      </c>
      <c r="E57" s="130">
        <f>E55/E54</f>
        <v>52.027041345970147</v>
      </c>
      <c r="G57" s="281" t="s">
        <v>111</v>
      </c>
      <c r="H57" s="281"/>
      <c r="I57" s="281"/>
      <c r="J57" s="281"/>
      <c r="K57" s="281"/>
      <c r="L57" s="281"/>
      <c r="M57" s="281"/>
      <c r="N57" s="281"/>
    </row>
    <row r="58" spans="1:14" ht="56.25" customHeight="1" x14ac:dyDescent="0.25">
      <c r="B58" s="134">
        <f>B57/B31</f>
        <v>0.57619651567124974</v>
      </c>
      <c r="C58" s="135">
        <f>C57/C31</f>
        <v>0.41783688629830401</v>
      </c>
      <c r="D58" s="135">
        <f>D57/D31</f>
        <v>0.26055387671919561</v>
      </c>
      <c r="E58" s="136">
        <f>E57/E31</f>
        <v>3.7019412841691003E-2</v>
      </c>
      <c r="G58" s="281" t="s">
        <v>130</v>
      </c>
      <c r="H58" s="281"/>
      <c r="I58" s="281"/>
      <c r="J58" s="281"/>
      <c r="K58" s="281"/>
      <c r="L58" s="281"/>
      <c r="M58" s="281"/>
      <c r="N58" s="281"/>
    </row>
    <row r="59" spans="1:14" ht="56.25" customHeight="1" x14ac:dyDescent="0.25">
      <c r="B59" s="149">
        <f>('LEAP Region'!H5+'LEAP Region'!H13)*1000</f>
        <v>100353.48837209302</v>
      </c>
      <c r="C59" s="150">
        <f>('LEAP Region'!I5+'LEAP Region'!I13)*1000</f>
        <v>84112.372093023267</v>
      </c>
      <c r="D59" s="150">
        <f>('LEAP Region'!J5+'LEAP Region'!J13)*1000</f>
        <v>66671.627906976748</v>
      </c>
      <c r="E59" s="151">
        <f>('LEAP Region'!K5+'LEAP Region'!K13)*1000</f>
        <v>48261.953488372099</v>
      </c>
      <c r="G59" s="281" t="s">
        <v>112</v>
      </c>
      <c r="H59" s="281"/>
      <c r="I59" s="281"/>
      <c r="J59" s="281"/>
      <c r="K59" s="281"/>
      <c r="L59" s="281"/>
      <c r="M59" s="281"/>
      <c r="N59" s="281"/>
    </row>
    <row r="60" spans="1:14" ht="56.25" customHeight="1" x14ac:dyDescent="0.25">
      <c r="A60" s="2"/>
      <c r="B60" s="128">
        <f>B59/B54</f>
        <v>808.97612553077806</v>
      </c>
      <c r="C60" s="129">
        <f>C59/C54</f>
        <v>717.97677314788064</v>
      </c>
      <c r="D60" s="129">
        <f>D59/D54</f>
        <v>591.44814989557642</v>
      </c>
      <c r="E60" s="130">
        <f>E59/E54</f>
        <v>428.50618305421079</v>
      </c>
      <c r="G60" s="281" t="s">
        <v>140</v>
      </c>
      <c r="H60" s="281"/>
      <c r="I60" s="281"/>
      <c r="J60" s="281"/>
      <c r="K60" s="281"/>
      <c r="L60" s="281"/>
      <c r="M60" s="281"/>
      <c r="N60" s="281"/>
    </row>
    <row r="61" spans="1:14" ht="56.25" customHeight="1" x14ac:dyDescent="0.25">
      <c r="B61" s="134">
        <f>B60/B31</f>
        <v>0.6855729877379475</v>
      </c>
      <c r="C61" s="135">
        <f>C60/C31</f>
        <v>0.57401404952660751</v>
      </c>
      <c r="D61" s="135">
        <f>D60/D31</f>
        <v>0.44609046428819626</v>
      </c>
      <c r="E61" s="136">
        <f>E60/E31</f>
        <v>0.30490004592447861</v>
      </c>
      <c r="G61" s="281" t="s">
        <v>131</v>
      </c>
      <c r="H61" s="281"/>
      <c r="I61" s="281"/>
      <c r="J61" s="281"/>
      <c r="K61" s="281"/>
      <c r="L61" s="281"/>
      <c r="M61" s="281"/>
      <c r="N61" s="281"/>
    </row>
    <row r="62" spans="1:14" ht="56.25" customHeight="1" x14ac:dyDescent="0.25">
      <c r="B62" s="149">
        <f>('LEAP Region'!H7+'LEAP Region'!H8)*1000</f>
        <v>1799.4418604651164</v>
      </c>
      <c r="C62" s="150">
        <f>('LEAP Region'!I7+'LEAP Region'!I8)*1000</f>
        <v>7197.7674418604656</v>
      </c>
      <c r="D62" s="150">
        <f>('LEAP Region'!J7+'LEAP Region'!J8)*1000</f>
        <v>14533.953488372093</v>
      </c>
      <c r="E62" s="151">
        <f>('LEAP Region'!K7+'LEAP Region'!K8)*1000</f>
        <v>18271.255813953489</v>
      </c>
      <c r="G62" s="281" t="s">
        <v>113</v>
      </c>
      <c r="H62" s="281"/>
      <c r="I62" s="281"/>
      <c r="J62" s="281"/>
      <c r="K62" s="281"/>
      <c r="L62" s="281"/>
      <c r="M62" s="281"/>
      <c r="N62" s="281"/>
    </row>
    <row r="63" spans="1:14" ht="56.25" customHeight="1" x14ac:dyDescent="0.25">
      <c r="B63" s="128">
        <f>B62/((0.7*B54)/2.4)</f>
        <v>49.734098751842915</v>
      </c>
      <c r="C63" s="129">
        <f>C62/((0.75*C54)/2.6)</f>
        <v>212.99058635127471</v>
      </c>
      <c r="D63" s="129">
        <f>D62/((0.8*D54)/2.8)</f>
        <v>451.26061263659022</v>
      </c>
      <c r="E63" s="130">
        <f>E62/((0.85*E54)/3)</f>
        <v>572.56253005106555</v>
      </c>
      <c r="F63" s="91"/>
      <c r="G63" s="281" t="s">
        <v>180</v>
      </c>
      <c r="H63" s="281"/>
      <c r="I63" s="281"/>
      <c r="J63" s="281"/>
      <c r="K63" s="281"/>
      <c r="L63" s="281"/>
      <c r="M63" s="281"/>
      <c r="N63" s="281"/>
    </row>
    <row r="64" spans="1:14" ht="56.25" customHeight="1" x14ac:dyDescent="0.25">
      <c r="B64" s="134">
        <f>B63/B31</f>
        <v>4.2147541315121113E-2</v>
      </c>
      <c r="C64" s="135">
        <f>C63/C31</f>
        <v>0.17028348764892445</v>
      </c>
      <c r="D64" s="135">
        <f>D63/D31</f>
        <v>0.34035621929255105</v>
      </c>
      <c r="E64" s="136">
        <f>E63/E31</f>
        <v>0.40740215336664104</v>
      </c>
      <c r="G64" s="281" t="s">
        <v>114</v>
      </c>
      <c r="H64" s="281"/>
      <c r="I64" s="281"/>
      <c r="J64" s="281"/>
      <c r="K64" s="281"/>
      <c r="L64" s="281"/>
      <c r="M64" s="281"/>
      <c r="N64" s="281"/>
    </row>
    <row r="65" spans="1:20" ht="56.25" customHeight="1" x14ac:dyDescent="0.25">
      <c r="B65" s="149">
        <f>('LEAP Region'!H10+'LEAP Region'!H11)*1000</f>
        <v>32620.651162790702</v>
      </c>
      <c r="C65" s="150">
        <f>('LEAP Region'!I10+'LEAP Region'!I11)*1000</f>
        <v>25515.162790697676</v>
      </c>
      <c r="D65" s="150">
        <f>('LEAP Region'!J10+'LEAP Region'!J11)*1000</f>
        <v>16333.395348837212</v>
      </c>
      <c r="E65" s="151">
        <f>('LEAP Region'!K10+'LEAP Region'!K11)*1000</f>
        <v>5721.3023255813951</v>
      </c>
      <c r="G65" s="281" t="s">
        <v>115</v>
      </c>
      <c r="H65" s="281"/>
      <c r="I65" s="281"/>
      <c r="J65" s="281"/>
      <c r="K65" s="281"/>
      <c r="L65" s="281"/>
      <c r="M65" s="281"/>
      <c r="N65" s="281"/>
    </row>
    <row r="66" spans="1:20" ht="56.25" customHeight="1" x14ac:dyDescent="0.25">
      <c r="B66" s="128">
        <f>B65/B54</f>
        <v>262.96373367828056</v>
      </c>
      <c r="C66" s="129">
        <f>C65/C54</f>
        <v>217.79547753745362</v>
      </c>
      <c r="D66" s="129">
        <f>D65/D54</f>
        <v>144.89456405746301</v>
      </c>
      <c r="E66" s="130">
        <f>E65/E54</f>
        <v>50.798056117325167</v>
      </c>
      <c r="G66" s="281" t="s">
        <v>146</v>
      </c>
      <c r="H66" s="281"/>
      <c r="I66" s="281"/>
      <c r="J66" s="281"/>
      <c r="K66" s="281"/>
      <c r="L66" s="281"/>
      <c r="M66" s="281"/>
      <c r="N66" s="281"/>
    </row>
    <row r="67" spans="1:20" ht="56.25" customHeight="1" x14ac:dyDescent="0.25">
      <c r="A67" s="21"/>
      <c r="B67" s="134">
        <f>B66/B31</f>
        <v>0.22285062176125472</v>
      </c>
      <c r="C67" s="135">
        <f>C66/C31</f>
        <v>0.17412494206703999</v>
      </c>
      <c r="D67" s="135">
        <f>D66/D31</f>
        <v>0.10928444592250622</v>
      </c>
      <c r="E67" s="136">
        <f>E66/E31</f>
        <v>3.6144938522595926E-2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712.41619425917702</v>
      </c>
      <c r="C72" s="156">
        <f ca="1">C49*($B$72-$B$46)+(1-C49)*$B$72</f>
        <v>704.14410875792203</v>
      </c>
      <c r="D72" s="156">
        <f ca="1">D49*($B$72-$B$46)+(1-D49)*$B$72</f>
        <v>698.89253195751223</v>
      </c>
      <c r="E72" s="157">
        <f ca="1">E49*($B$72-$B$46)+(1-E49)*$B$72</f>
        <v>688.17139618230863</v>
      </c>
      <c r="G72" s="280" t="s">
        <v>134</v>
      </c>
      <c r="H72" s="280"/>
      <c r="I72" s="280"/>
      <c r="J72" s="280"/>
      <c r="K72" s="280"/>
      <c r="L72" s="280"/>
      <c r="M72" s="280"/>
      <c r="N72" s="280"/>
    </row>
    <row r="73" spans="1:20" ht="56.25" customHeight="1" x14ac:dyDescent="0.25">
      <c r="B73" s="149">
        <f>('LEAP Region'!T4+'LEAP Region'!T5+'LEAP Region'!T9)*1000</f>
        <v>30763.536668951332</v>
      </c>
      <c r="C73" s="150">
        <f>('LEAP Region'!U4+'LEAP Region'!U5+'LEAP Region'!U9)*1000</f>
        <v>25793.008910212473</v>
      </c>
      <c r="D73" s="150">
        <f>('LEAP Region'!V4+'LEAP Region'!V5+'LEAP Region'!V9)*1000</f>
        <v>20016.449623029472</v>
      </c>
      <c r="E73" s="151">
        <f>('LEAP Region'!W4+'LEAP Region'!W5+'LEAP Region'!W9)*1000</f>
        <v>11082.933516106921</v>
      </c>
      <c r="G73" s="281" t="s">
        <v>133</v>
      </c>
      <c r="H73" s="281"/>
      <c r="I73" s="281"/>
      <c r="J73" s="281"/>
      <c r="K73" s="281"/>
      <c r="L73" s="281"/>
      <c r="M73" s="281"/>
      <c r="N73" s="281"/>
    </row>
    <row r="74" spans="1:20" ht="56.25" customHeight="1" x14ac:dyDescent="0.25">
      <c r="B74" s="158">
        <f ca="1">com_share_state_target*'LEAP Statewide'!T4*1000/'2.Heat Targets'!B73</f>
        <v>7.6474873850201942E-3</v>
      </c>
      <c r="C74" s="145">
        <f ca="1">com_share_state_target*'LEAP Statewide'!U4*1000/'2.Heat Targets'!C73</f>
        <v>5.7029775970531868E-2</v>
      </c>
      <c r="D74" s="145">
        <f ca="1">com_share_state_target*'LEAP Statewide'!V4*1000/'2.Heat Targets'!D73</f>
        <v>0.13787564663749907</v>
      </c>
      <c r="E74" s="159">
        <f ca="1">com_share_state_target*'LEAP Statewide'!W4*1000/'2.Heat Targets'!E73</f>
        <v>0.44279064455403799</v>
      </c>
      <c r="G74" s="281" t="s">
        <v>136</v>
      </c>
      <c r="H74" s="281"/>
      <c r="I74" s="281"/>
      <c r="J74" s="281"/>
      <c r="K74" s="281"/>
      <c r="L74" s="281"/>
      <c r="M74" s="281"/>
      <c r="N74" s="281"/>
    </row>
    <row r="75" spans="1:20" ht="56.25" customHeight="1" x14ac:dyDescent="0.25">
      <c r="B75" s="128">
        <f ca="1">B73/B72</f>
        <v>43.181972724443092</v>
      </c>
      <c r="C75" s="129">
        <f ca="1">C73/C72</f>
        <v>36.630298527541697</v>
      </c>
      <c r="D75" s="129">
        <f ca="1">D73/D72</f>
        <v>28.640239675999759</v>
      </c>
      <c r="E75" s="130">
        <f ca="1">E73/E72</f>
        <v>16.104902902954802</v>
      </c>
      <c r="G75" s="281" t="s">
        <v>135</v>
      </c>
      <c r="H75" s="281"/>
      <c r="I75" s="281"/>
      <c r="J75" s="281"/>
      <c r="K75" s="281"/>
      <c r="L75" s="281"/>
      <c r="M75" s="281"/>
      <c r="N75" s="281"/>
    </row>
    <row r="76" spans="1:20" ht="56.25" customHeight="1" x14ac:dyDescent="0.25">
      <c r="B76" s="134">
        <f ca="1">B75/B48</f>
        <v>0.44063237473921524</v>
      </c>
      <c r="C76" s="135">
        <f ca="1">C75/C48</f>
        <v>0.35262127962593082</v>
      </c>
      <c r="D76" s="135">
        <f ca="1">D75/D48</f>
        <v>0.26009909543667725</v>
      </c>
      <c r="E76" s="136">
        <f ca="1">E75/E48</f>
        <v>0.13797945947636472</v>
      </c>
      <c r="G76" s="281" t="s">
        <v>181</v>
      </c>
      <c r="H76" s="281"/>
      <c r="I76" s="281"/>
      <c r="J76" s="281"/>
      <c r="K76" s="281"/>
      <c r="L76" s="281"/>
      <c r="M76" s="281"/>
      <c r="N76" s="281"/>
    </row>
    <row r="77" spans="1:20" ht="56.25" customHeight="1" x14ac:dyDescent="0.25">
      <c r="B77" s="128">
        <f>'LEAP Region'!T10*1000</f>
        <v>9470.8704592186441</v>
      </c>
      <c r="C77" s="129">
        <f>'LEAP Region'!U10*1000</f>
        <v>12963.673749143249</v>
      </c>
      <c r="D77" s="129">
        <f>'LEAP Region'!V10*1000</f>
        <v>16389.307745030841</v>
      </c>
      <c r="E77" s="130">
        <f>'LEAP Region'!W10*1000</f>
        <v>22300.205620287867</v>
      </c>
      <c r="G77" s="281" t="s">
        <v>138</v>
      </c>
      <c r="H77" s="281"/>
      <c r="I77" s="281"/>
      <c r="J77" s="281"/>
      <c r="K77" s="281"/>
      <c r="L77" s="281"/>
      <c r="M77" s="281"/>
      <c r="N77" s="281"/>
    </row>
    <row r="78" spans="1:20" ht="56.25" customHeight="1" x14ac:dyDescent="0.25">
      <c r="B78" s="128">
        <f ca="1">B77/B72</f>
        <v>13.294013437001043</v>
      </c>
      <c r="C78" s="129">
        <f ca="1">C77/C72</f>
        <v>18.410540666186325</v>
      </c>
      <c r="D78" s="129">
        <f ca="1">D77/D72</f>
        <v>23.450397587060202</v>
      </c>
      <c r="E78" s="130">
        <f ca="1">E77/E72</f>
        <v>32.405016750187848</v>
      </c>
      <c r="G78" s="281" t="s">
        <v>139</v>
      </c>
      <c r="H78" s="281"/>
      <c r="I78" s="281"/>
      <c r="J78" s="281"/>
      <c r="K78" s="281"/>
      <c r="L78" s="281"/>
      <c r="M78" s="281"/>
      <c r="N78" s="281"/>
    </row>
    <row r="79" spans="1:20" ht="56.25" customHeight="1" x14ac:dyDescent="0.25">
      <c r="B79" s="134">
        <f ca="1">B78/B48</f>
        <v>0.13565319833674533</v>
      </c>
      <c r="C79" s="135">
        <f ca="1">C78/C48</f>
        <v>0.17722892439532464</v>
      </c>
      <c r="D79" s="135">
        <f ca="1">D78/D48</f>
        <v>0.2129670445857357</v>
      </c>
      <c r="E79" s="136">
        <f ca="1">E78/E48</f>
        <v>0.27763139724941271</v>
      </c>
      <c r="G79" s="281" t="s">
        <v>141</v>
      </c>
      <c r="H79" s="281"/>
      <c r="I79" s="281"/>
      <c r="J79" s="281"/>
      <c r="K79" s="281"/>
      <c r="L79" s="281"/>
      <c r="M79" s="281"/>
      <c r="N79" s="281"/>
    </row>
    <row r="80" spans="1:20" ht="56.25" customHeight="1" x14ac:dyDescent="0.25">
      <c r="B80" s="149">
        <f>B43</f>
        <v>253.22823851953393</v>
      </c>
      <c r="C80" s="150">
        <f>C43</f>
        <v>1426.5265402482678</v>
      </c>
      <c r="D80" s="150">
        <f>D43</f>
        <v>2599.8248419770016</v>
      </c>
      <c r="E80" s="151">
        <f>E43</f>
        <v>3773.1231437057354</v>
      </c>
      <c r="G80" s="281" t="s">
        <v>142</v>
      </c>
      <c r="H80" s="281"/>
      <c r="I80" s="281"/>
      <c r="J80" s="281"/>
      <c r="K80" s="281"/>
      <c r="L80" s="281"/>
      <c r="M80" s="281"/>
      <c r="N80" s="281"/>
    </row>
    <row r="81" spans="2:14" ht="56.25" customHeight="1" x14ac:dyDescent="0.25">
      <c r="B81" s="128">
        <f ca="1">B80/((0.7*B72)/2.4)</f>
        <v>1.2186852439512201</v>
      </c>
      <c r="C81" s="129">
        <f ca="1">C80/((0.75*C72)/2.6)</f>
        <v>7.0231248755560332</v>
      </c>
      <c r="D81" s="129">
        <f ca="1">D80/((0.8*D72)/2.8)</f>
        <v>13.019722676722898</v>
      </c>
      <c r="E81" s="130">
        <f ca="1">E80/((0.85*E72)/3)</f>
        <v>19.351146076334718</v>
      </c>
      <c r="G81" s="281" t="s">
        <v>143</v>
      </c>
      <c r="H81" s="281"/>
      <c r="I81" s="281"/>
      <c r="J81" s="281"/>
      <c r="K81" s="281"/>
      <c r="L81" s="281"/>
      <c r="M81" s="281"/>
      <c r="N81" s="281"/>
    </row>
    <row r="82" spans="2:14" ht="56.25" customHeight="1" x14ac:dyDescent="0.25">
      <c r="B82" s="134">
        <f ca="1">B81/B48</f>
        <v>1.2435563713787961E-2</v>
      </c>
      <c r="C82" s="135">
        <f ca="1">C81/C48</f>
        <v>6.7608056175934086E-2</v>
      </c>
      <c r="D82" s="135">
        <f ca="1">D81/D48</f>
        <v>0.1182398656352658</v>
      </c>
      <c r="E82" s="136">
        <f ca="1">E81/E48</f>
        <v>0.16579178973944381</v>
      </c>
      <c r="G82" s="281" t="s">
        <v>144</v>
      </c>
      <c r="H82" s="281"/>
      <c r="I82" s="281"/>
      <c r="J82" s="281"/>
      <c r="K82" s="281"/>
      <c r="L82" s="281"/>
      <c r="M82" s="281"/>
      <c r="N82" s="281"/>
    </row>
    <row r="83" spans="2:14" ht="56.25" customHeight="1" x14ac:dyDescent="0.25">
      <c r="B83" s="149">
        <f>('LEAP Region'!T7+'LEAP Region'!T8)*1000</f>
        <v>20083.618917066484</v>
      </c>
      <c r="C83" s="150">
        <f>('LEAP Region'!U7+'LEAP Region'!U8)*1000</f>
        <v>17329.677861549004</v>
      </c>
      <c r="D83" s="150">
        <f>('LEAP Region'!V7+'LEAP Region'!V8)*1000</f>
        <v>14038.382453735434</v>
      </c>
      <c r="E83" s="151">
        <f>('LEAP Region'!W7+'LEAP Region'!W8)*1000</f>
        <v>8933.5161069225505</v>
      </c>
      <c r="G83" s="281" t="s">
        <v>145</v>
      </c>
      <c r="H83" s="281"/>
      <c r="I83" s="281"/>
      <c r="J83" s="281"/>
      <c r="K83" s="281"/>
      <c r="L83" s="281"/>
      <c r="M83" s="281"/>
      <c r="N83" s="281"/>
    </row>
    <row r="84" spans="2:14" ht="56.25" customHeight="1" x14ac:dyDescent="0.25">
      <c r="B84" s="128">
        <f ca="1">B83/B72</f>
        <v>28.190851189101497</v>
      </c>
      <c r="C84" s="129">
        <f ca="1">C83/C72</f>
        <v>24.610981823192077</v>
      </c>
      <c r="D84" s="129">
        <f ca="1">D83/D72</f>
        <v>20.086611047932717</v>
      </c>
      <c r="E84" s="130">
        <f ca="1">E83/E72</f>
        <v>12.981527794502965</v>
      </c>
      <c r="G84" s="281" t="s">
        <v>147</v>
      </c>
      <c r="H84" s="281"/>
      <c r="I84" s="281"/>
      <c r="J84" s="281"/>
      <c r="K84" s="281"/>
      <c r="L84" s="281"/>
      <c r="M84" s="281"/>
      <c r="N84" s="281"/>
    </row>
    <row r="85" spans="2:14" ht="56.25" customHeight="1" x14ac:dyDescent="0.25">
      <c r="B85" s="134">
        <f ca="1">B84/B48</f>
        <v>0.28766174682756629</v>
      </c>
      <c r="C85" s="135">
        <f ca="1">C84/C48</f>
        <v>0.23691742224867227</v>
      </c>
      <c r="D85" s="135">
        <f ca="1">D84/D48</f>
        <v>0.18241849310827363</v>
      </c>
      <c r="E85" s="136">
        <f ca="1">E84/E48</f>
        <v>0.11121980672943342</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23"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138.41860465116278</v>
      </c>
      <c r="C18" s="129">
        <f>'LEAP Region'!I26*1000</f>
        <v>3783.4418604651164</v>
      </c>
      <c r="D18" s="129">
        <f>'LEAP Region'!J26*1000</f>
        <v>10981.209302325582</v>
      </c>
      <c r="E18" s="130">
        <f>'LEAP Region'!K26*1000</f>
        <v>21270.325581395351</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9.7363614057089887</v>
      </c>
      <c r="C20" s="129">
        <f>IF($F$22="adj",'1.Current Trans'!$O$13*C18/C19,C18/C19)</f>
        <v>290.32059464295895</v>
      </c>
      <c r="D20" s="129">
        <f>IF($F$22="adj",'1.Current Trans'!$O$13*D18/D19,D18/D19)</f>
        <v>926.90160582349597</v>
      </c>
      <c r="E20" s="130">
        <f>IF($F$22="adj",'1.Current Trans'!$O$13*E18/E19,E18/E19)</f>
        <v>1994.8722702363755</v>
      </c>
      <c r="G20" s="303" t="s">
        <v>106</v>
      </c>
      <c r="H20" s="303"/>
      <c r="I20" s="303"/>
      <c r="J20" s="303"/>
      <c r="K20" s="303"/>
      <c r="L20" s="303"/>
      <c r="M20" s="303"/>
      <c r="N20" s="303"/>
    </row>
    <row r="21" spans="2:22" ht="54.75" customHeight="1" x14ac:dyDescent="0.25">
      <c r="B21" s="131">
        <f>'1.Current Trans'!B9+'1.Current Trans'!B32</f>
        <v>2048</v>
      </c>
      <c r="C21" s="132">
        <f t="shared" ref="C21:E21" si="0">B21*1.125</f>
        <v>2304</v>
      </c>
      <c r="D21" s="132">
        <f t="shared" si="0"/>
        <v>2592</v>
      </c>
      <c r="E21" s="133">
        <f t="shared" si="0"/>
        <v>2916</v>
      </c>
      <c r="G21" s="303" t="s">
        <v>189</v>
      </c>
      <c r="H21" s="303"/>
      <c r="I21" s="303"/>
      <c r="J21" s="303"/>
      <c r="K21" s="303"/>
      <c r="L21" s="303"/>
      <c r="M21" s="303"/>
      <c r="N21" s="303"/>
      <c r="O21" s="186">
        <f>(E21/B21)^(1/(E17-B17))-1</f>
        <v>1.014682216717655E-2</v>
      </c>
    </row>
    <row r="22" spans="2:22" ht="54.75" customHeight="1" x14ac:dyDescent="0.25">
      <c r="B22" s="134">
        <f>B20/B21</f>
        <v>4.7540827176313421E-3</v>
      </c>
      <c r="C22" s="135">
        <f>C20/C21</f>
        <v>0.1260072025360065</v>
      </c>
      <c r="D22" s="135">
        <f>D20/D21</f>
        <v>0.35760092817264505</v>
      </c>
      <c r="E22" s="136">
        <f>E20/E21</f>
        <v>0.68411257552687776</v>
      </c>
      <c r="F22" s="54" t="s">
        <v>545</v>
      </c>
      <c r="G22" s="303" t="s">
        <v>191</v>
      </c>
      <c r="H22" s="303"/>
      <c r="I22" s="303"/>
      <c r="J22" s="303"/>
      <c r="K22" s="303"/>
      <c r="L22" s="303"/>
      <c r="M22" s="303"/>
      <c r="N22" s="303"/>
    </row>
    <row r="23" spans="2:22" ht="54.75" customHeight="1" x14ac:dyDescent="0.25">
      <c r="B23" s="166">
        <f>('LEAP Region'!H24+'LEAP Region'!H25+'LEAP Region'!H27+'LEAP Region'!H28)*1000</f>
        <v>157751.06976744189</v>
      </c>
      <c r="C23" s="167">
        <f>('LEAP Region'!I24+'LEAP Region'!I25+'LEAP Region'!I27+'LEAP Region'!I28)*1000</f>
        <v>113180.27906976745</v>
      </c>
      <c r="D23" s="167">
        <f>('LEAP Region'!J24+'LEAP Region'!J25+'LEAP Region'!J27+'LEAP Region'!J28)*1000</f>
        <v>64641.488372093023</v>
      </c>
      <c r="E23" s="168">
        <f>('LEAP Region'!K24+'LEAP Region'!K25+'LEAP Region'!K27+'LEAP Region'!K28)*1000</f>
        <v>8997.209302325582</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0.12593916004531608</v>
      </c>
      <c r="D24" s="145">
        <f>res_share_state_target*('LEAP Statewide'!J25+'LEAP Statewide'!J28)*1000000/'2.Trans Targets'!D23</f>
        <v>0.1470039303312683</v>
      </c>
      <c r="E24" s="159">
        <f>res_share_state_target*('LEAP Statewide'!K25+'LEAP Statewide'!K28)*1000000/'2.Trans Targets'!E23</f>
        <v>0.52808334972847915</v>
      </c>
      <c r="G24" s="281" t="s">
        <v>192</v>
      </c>
      <c r="H24" s="281"/>
      <c r="I24" s="281"/>
      <c r="J24" s="281"/>
      <c r="K24" s="281"/>
      <c r="L24" s="281"/>
      <c r="M24" s="281"/>
      <c r="N24" s="28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2353.5129149730374</v>
      </c>
      <c r="C26" s="129">
        <f>IF($F$22="adj",'1.Current Trans'!$O$13*C23/C25,C23/C25)</f>
        <v>1974.6588070092291</v>
      </c>
      <c r="D26" s="129">
        <f>IF($F$22="adj",'1.Current Trans'!$O$13*D23/D25,D23/D25)</f>
        <v>1357.8767710527316</v>
      </c>
      <c r="E26" s="130">
        <f>IF($F$22="adj",'1.Current Trans'!$O$13*E23/E25,E23/E25)</f>
        <v>237.43547683207254</v>
      </c>
      <c r="G26" s="303" t="s">
        <v>107</v>
      </c>
      <c r="H26" s="303"/>
      <c r="I26" s="303"/>
      <c r="J26" s="303"/>
      <c r="K26" s="303"/>
      <c r="L26" s="303"/>
      <c r="M26" s="303"/>
      <c r="N26" s="303"/>
    </row>
    <row r="27" spans="2:22" ht="54.75" customHeight="1" x14ac:dyDescent="0.25">
      <c r="B27" s="134">
        <f>B26/B21</f>
        <v>1.1491762280141784</v>
      </c>
      <c r="C27" s="135">
        <f>C26/C21</f>
        <v>0.85705677387553347</v>
      </c>
      <c r="D27" s="135">
        <f>D26/D21</f>
        <v>0.5238722110542946</v>
      </c>
      <c r="E27" s="136">
        <f>E26/E21</f>
        <v>8.1425060642000183E-2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553674.41860465112</v>
      </c>
      <c r="C5" s="172">
        <f>'LEAP Region'!C49*1000000</f>
        <v>2583813.9534883723</v>
      </c>
      <c r="D5" s="172">
        <f>'LEAP Region'!D49*1000000</f>
        <v>4060279.0697674421</v>
      </c>
      <c r="E5" s="173">
        <f>'LEAP Region'!E49*1000000</f>
        <v>5952000</v>
      </c>
      <c r="G5" s="281" t="s">
        <v>186</v>
      </c>
      <c r="H5" s="281"/>
      <c r="I5" s="281"/>
      <c r="J5" s="281"/>
      <c r="K5" s="281"/>
      <c r="L5" s="281"/>
      <c r="M5" s="281"/>
      <c r="N5" s="281"/>
    </row>
    <row r="6" spans="2:14" s="126" customFormat="1" ht="45" customHeight="1" x14ac:dyDescent="0.2">
      <c r="B6" s="304">
        <v>400</v>
      </c>
      <c r="C6" s="305"/>
      <c r="D6" s="305"/>
      <c r="E6" s="306"/>
      <c r="G6" s="281" t="s">
        <v>475</v>
      </c>
      <c r="H6" s="281"/>
      <c r="I6" s="281"/>
      <c r="J6" s="281"/>
      <c r="K6" s="281"/>
      <c r="L6" s="281"/>
      <c r="M6" s="281"/>
      <c r="N6" s="281"/>
    </row>
    <row r="7" spans="2:14" s="126" customFormat="1" ht="45" customHeight="1" x14ac:dyDescent="0.2">
      <c r="B7" s="171">
        <f>B5/13/$B$6</f>
        <v>106.47584973166367</v>
      </c>
      <c r="C7" s="172">
        <f>C5/13/$B$6</f>
        <v>496.88729874776391</v>
      </c>
      <c r="D7" s="172">
        <f>D5/13/$B$6</f>
        <v>780.82289803220044</v>
      </c>
      <c r="E7" s="172">
        <f>E5/13/$B$6</f>
        <v>1144.6153846153848</v>
      </c>
      <c r="G7" s="281" t="s">
        <v>185</v>
      </c>
      <c r="H7" s="281"/>
      <c r="I7" s="281"/>
      <c r="J7" s="281"/>
      <c r="K7" s="281"/>
      <c r="L7" s="281"/>
      <c r="M7" s="281"/>
      <c r="N7" s="281"/>
    </row>
    <row r="8" spans="2:14" s="126" customFormat="1" ht="45" customHeight="1" x14ac:dyDescent="0.2">
      <c r="B8" s="36">
        <f>'2.Heat Targets'!B31*1.5</f>
        <v>1770</v>
      </c>
      <c r="C8" s="36">
        <f>'2.Heat Targets'!C31*1.5</f>
        <v>1876.1999999999998</v>
      </c>
      <c r="D8" s="36">
        <f>'2.Heat Targets'!D31*1.5</f>
        <v>1988.7719999999999</v>
      </c>
      <c r="E8" s="36">
        <f>'2.Heat Targets'!E31*1.5</f>
        <v>2108.0983200000001</v>
      </c>
      <c r="G8" s="281" t="s">
        <v>187</v>
      </c>
      <c r="H8" s="281"/>
      <c r="I8" s="281"/>
      <c r="J8" s="281"/>
      <c r="K8" s="281"/>
      <c r="L8" s="281"/>
      <c r="M8" s="281"/>
      <c r="N8" s="281"/>
    </row>
    <row r="9" spans="2:14" s="126" customFormat="1" ht="45" customHeight="1" x14ac:dyDescent="0.2">
      <c r="B9" s="174">
        <f>B7/B8</f>
        <v>6.0155847306024676E-2</v>
      </c>
      <c r="C9" s="175">
        <f>C7/C8</f>
        <v>0.26483706361142945</v>
      </c>
      <c r="D9" s="175">
        <f>D7/D8</f>
        <v>0.3926155929549493</v>
      </c>
      <c r="E9" s="176">
        <f>E7/E8</f>
        <v>0.54296110089181449</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6" zoomScale="70" zoomScaleNormal="70" workbookViewId="0">
      <selection activeCell="M16" sqref="M16:R2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c r="N16" s="222"/>
      <c r="O16" s="222"/>
      <c r="P16" s="222"/>
      <c r="Q16" s="223"/>
      <c r="R16" s="221"/>
    </row>
    <row r="17" spans="1:17" x14ac:dyDescent="0.25">
      <c r="B17" s="21"/>
      <c r="C17" s="21"/>
      <c r="D17" s="21"/>
      <c r="E17" s="21"/>
      <c r="H17" s="21"/>
      <c r="I17" s="21"/>
      <c r="J17" s="21"/>
      <c r="K17" s="30"/>
      <c r="L17" s="22"/>
      <c r="M17" s="222"/>
      <c r="N17" s="222"/>
      <c r="O17" s="222"/>
      <c r="P17" s="222"/>
      <c r="Q17" s="223"/>
    </row>
    <row r="18" spans="1:17" x14ac:dyDescent="0.25">
      <c r="B18" s="21"/>
      <c r="L18" s="22"/>
      <c r="M18" s="223"/>
      <c r="N18" s="223"/>
      <c r="O18" s="223"/>
      <c r="P18" s="223"/>
      <c r="Q18" s="223"/>
    </row>
    <row r="19" spans="1:17" x14ac:dyDescent="0.25">
      <c r="B19" s="21"/>
      <c r="C19" s="21"/>
      <c r="D19" s="21"/>
      <c r="E19" s="21"/>
      <c r="H19" s="21"/>
      <c r="I19" s="21"/>
      <c r="J19" s="21"/>
      <c r="K19" s="21"/>
      <c r="L19" s="22"/>
      <c r="M19" s="223"/>
      <c r="N19" s="224"/>
      <c r="O19" s="224"/>
      <c r="P19" s="224"/>
      <c r="Q19" s="224"/>
    </row>
    <row r="20" spans="1:17" x14ac:dyDescent="0.25">
      <c r="B20" s="21"/>
      <c r="C20" s="21"/>
      <c r="D20" s="21"/>
      <c r="E20" s="21"/>
      <c r="H20" s="23"/>
      <c r="I20" s="23"/>
      <c r="J20" s="23"/>
      <c r="K20" s="23"/>
      <c r="L20" s="22"/>
      <c r="M20" s="222"/>
      <c r="N20" s="224"/>
      <c r="O20" s="224"/>
      <c r="P20" s="224"/>
      <c r="Q20" s="224"/>
    </row>
    <row r="21" spans="1:17" x14ac:dyDescent="0.25">
      <c r="L21" s="22"/>
      <c r="M21" s="222"/>
      <c r="N21" s="224"/>
      <c r="O21" s="224"/>
      <c r="P21" s="224"/>
      <c r="Q21" s="224"/>
    </row>
    <row r="22" spans="1:17" ht="33.75" customHeight="1" x14ac:dyDescent="0.25">
      <c r="A22" s="231" t="s">
        <v>472</v>
      </c>
      <c r="B22" s="232"/>
      <c r="C22" s="232"/>
      <c r="D22" s="232"/>
      <c r="E22" s="233"/>
      <c r="G22" s="231" t="s">
        <v>473</v>
      </c>
      <c r="H22" s="232"/>
      <c r="I22" s="232"/>
      <c r="J22" s="232"/>
      <c r="K22" s="233"/>
      <c r="L22" s="22"/>
      <c r="M22" s="222"/>
      <c r="N22" s="224"/>
      <c r="O22" s="224"/>
      <c r="P22" s="224"/>
      <c r="Q22" s="224"/>
    </row>
    <row r="23" spans="1:17" x14ac:dyDescent="0.25">
      <c r="A23" s="14" t="s">
        <v>0</v>
      </c>
      <c r="B23" s="15">
        <v>2015</v>
      </c>
      <c r="C23" s="15">
        <v>2025</v>
      </c>
      <c r="D23" s="15">
        <v>2035</v>
      </c>
      <c r="E23" s="16">
        <v>2050</v>
      </c>
      <c r="G23" s="14" t="s">
        <v>0</v>
      </c>
      <c r="H23" s="15">
        <v>2015</v>
      </c>
      <c r="I23" s="15">
        <v>2025</v>
      </c>
      <c r="J23" s="15">
        <v>2035</v>
      </c>
      <c r="K23" s="16">
        <v>2050</v>
      </c>
      <c r="M23" s="222"/>
      <c r="N23" s="224"/>
      <c r="O23" s="224"/>
      <c r="P23" s="224"/>
      <c r="Q23" s="224"/>
    </row>
    <row r="24" spans="1:17" x14ac:dyDescent="0.25">
      <c r="A24" s="1" t="s">
        <v>21</v>
      </c>
      <c r="B24" s="4">
        <v>2912</v>
      </c>
      <c r="C24" s="4">
        <v>2370</v>
      </c>
      <c r="D24" s="4">
        <v>2020</v>
      </c>
      <c r="E24" s="5">
        <v>1696</v>
      </c>
      <c r="G24" s="1" t="s">
        <v>21</v>
      </c>
      <c r="H24" s="4">
        <v>2923</v>
      </c>
      <c r="I24" s="4">
        <v>2094</v>
      </c>
      <c r="J24" s="4">
        <v>1166</v>
      </c>
      <c r="K24" s="5">
        <v>91</v>
      </c>
      <c r="M24" s="222"/>
      <c r="N24" s="224"/>
      <c r="O24" s="224"/>
      <c r="P24" s="224"/>
      <c r="Q24" s="224"/>
    </row>
    <row r="25" spans="1:17" x14ac:dyDescent="0.25">
      <c r="A25" s="1" t="s">
        <v>22</v>
      </c>
      <c r="B25" s="4">
        <v>395</v>
      </c>
      <c r="C25" s="4">
        <v>319</v>
      </c>
      <c r="D25" s="4">
        <v>270</v>
      </c>
      <c r="E25" s="5">
        <v>224</v>
      </c>
      <c r="G25" s="1" t="s">
        <v>22</v>
      </c>
      <c r="H25" s="4">
        <v>390</v>
      </c>
      <c r="I25" s="4">
        <v>260</v>
      </c>
      <c r="J25" s="4">
        <v>141</v>
      </c>
      <c r="K25" s="5">
        <v>16</v>
      </c>
      <c r="M25" s="222"/>
      <c r="N25" s="224"/>
      <c r="O25" s="224"/>
      <c r="P25" s="224"/>
      <c r="Q25" s="224"/>
    </row>
    <row r="26" spans="1:17" x14ac:dyDescent="0.25">
      <c r="A26" s="1" t="s">
        <v>23</v>
      </c>
      <c r="B26" s="4">
        <v>3</v>
      </c>
      <c r="C26" s="4">
        <v>9</v>
      </c>
      <c r="D26" s="4">
        <v>14</v>
      </c>
      <c r="E26" s="5">
        <v>21</v>
      </c>
      <c r="G26" s="1" t="s">
        <v>23</v>
      </c>
      <c r="H26" s="4">
        <v>3</v>
      </c>
      <c r="I26" s="4">
        <v>82</v>
      </c>
      <c r="J26" s="4">
        <v>238</v>
      </c>
      <c r="K26" s="5">
        <v>461</v>
      </c>
      <c r="M26" s="222"/>
      <c r="N26" s="224"/>
      <c r="O26" s="224"/>
      <c r="P26" s="224"/>
      <c r="Q26" s="224"/>
    </row>
    <row r="27" spans="1:17" x14ac:dyDescent="0.25">
      <c r="A27" s="1" t="s">
        <v>20</v>
      </c>
      <c r="B27" s="4">
        <v>106</v>
      </c>
      <c r="C27" s="4">
        <v>100</v>
      </c>
      <c r="D27" s="4">
        <v>98</v>
      </c>
      <c r="E27" s="5">
        <v>97</v>
      </c>
      <c r="G27" s="1" t="s">
        <v>20</v>
      </c>
      <c r="H27" s="4">
        <v>98</v>
      </c>
      <c r="I27" s="4">
        <v>61</v>
      </c>
      <c r="J27" s="4">
        <v>33</v>
      </c>
      <c r="K27" s="5">
        <v>1</v>
      </c>
      <c r="M27" s="222"/>
      <c r="N27" s="224"/>
      <c r="O27" s="224"/>
      <c r="P27" s="224"/>
      <c r="Q27" s="224"/>
    </row>
    <row r="28" spans="1:17" x14ac:dyDescent="0.25">
      <c r="A28" s="1" t="s">
        <v>18</v>
      </c>
      <c r="B28" s="4">
        <v>1</v>
      </c>
      <c r="C28" s="4">
        <v>1</v>
      </c>
      <c r="D28" s="4">
        <v>1</v>
      </c>
      <c r="E28" s="5">
        <v>0</v>
      </c>
      <c r="G28" s="1" t="s">
        <v>18</v>
      </c>
      <c r="H28" s="4">
        <v>8</v>
      </c>
      <c r="I28" s="4">
        <v>38</v>
      </c>
      <c r="J28" s="4">
        <v>61</v>
      </c>
      <c r="K28" s="5">
        <v>87</v>
      </c>
      <c r="M28" s="222"/>
      <c r="N28" s="224"/>
      <c r="O28" s="224"/>
      <c r="P28" s="224"/>
      <c r="Q28" s="224"/>
    </row>
    <row r="29" spans="1:17" x14ac:dyDescent="0.25">
      <c r="A29" s="6" t="s">
        <v>24</v>
      </c>
      <c r="B29" s="18">
        <v>0</v>
      </c>
      <c r="C29" s="18">
        <v>0</v>
      </c>
      <c r="D29" s="18">
        <v>0</v>
      </c>
      <c r="E29" s="19">
        <v>0</v>
      </c>
      <c r="G29" s="1" t="s">
        <v>24</v>
      </c>
      <c r="H29" s="4">
        <v>0</v>
      </c>
      <c r="I29" s="4">
        <v>0</v>
      </c>
      <c r="J29" s="4">
        <v>0</v>
      </c>
      <c r="K29" s="5">
        <v>0</v>
      </c>
      <c r="M29" s="222"/>
      <c r="N29" s="225"/>
      <c r="O29" s="225"/>
      <c r="P29" s="225"/>
      <c r="Q29" s="225"/>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c r="O48" s="223"/>
      <c r="P48" s="223"/>
      <c r="Q48" s="226"/>
    </row>
    <row r="49" spans="1:17" ht="89.25" customHeight="1" x14ac:dyDescent="0.25">
      <c r="A49" s="234"/>
      <c r="B49" s="214">
        <v>12</v>
      </c>
      <c r="C49" s="213">
        <v>56</v>
      </c>
      <c r="D49" s="213">
        <v>88</v>
      </c>
      <c r="E49" s="213">
        <v>129</v>
      </c>
      <c r="M49" s="223"/>
      <c r="N49" s="223"/>
      <c r="O49" s="223"/>
      <c r="P49" s="223"/>
      <c r="Q49" s="223"/>
    </row>
    <row r="50" spans="1:17" x14ac:dyDescent="0.25">
      <c r="M50" s="223"/>
      <c r="N50" s="223"/>
      <c r="O50" s="223"/>
      <c r="P50" s="223"/>
      <c r="Q50" s="223"/>
    </row>
    <row r="51" spans="1:17" x14ac:dyDescent="0.25">
      <c r="M51" s="223"/>
      <c r="N51" s="223"/>
      <c r="O51" s="223"/>
      <c r="P51" s="223"/>
      <c r="Q51" s="223"/>
    </row>
    <row r="52" spans="1:17" x14ac:dyDescent="0.25">
      <c r="M52" s="223"/>
      <c r="N52" s="223"/>
      <c r="O52" s="223"/>
      <c r="P52" s="223"/>
      <c r="Q52" s="223"/>
    </row>
    <row r="53" spans="1:17" x14ac:dyDescent="0.25">
      <c r="M53" s="223"/>
      <c r="N53" s="223"/>
      <c r="O53" s="223"/>
      <c r="P53" s="223"/>
      <c r="Q53" s="223"/>
    </row>
    <row r="54" spans="1:17" x14ac:dyDescent="0.25">
      <c r="M54" s="223"/>
      <c r="N54" s="223"/>
      <c r="O54" s="223"/>
      <c r="P54" s="223"/>
      <c r="Q54" s="223"/>
    </row>
    <row r="55" spans="1:17" x14ac:dyDescent="0.25">
      <c r="M55" s="223"/>
      <c r="N55" s="223"/>
      <c r="O55" s="223"/>
      <c r="P55" s="223"/>
      <c r="Q55" s="223"/>
    </row>
    <row r="56" spans="1:17" x14ac:dyDescent="0.25">
      <c r="M56" s="223"/>
      <c r="N56" s="223"/>
      <c r="O56" s="223"/>
      <c r="P56" s="223"/>
      <c r="Q56" s="223"/>
    </row>
    <row r="57" spans="1:17" x14ac:dyDescent="0.25">
      <c r="M57" s="223"/>
      <c r="N57" s="223"/>
      <c r="O57" s="223"/>
      <c r="P57" s="223"/>
      <c r="Q57" s="223"/>
    </row>
    <row r="58" spans="1:17" x14ac:dyDescent="0.25">
      <c r="M58" s="223"/>
      <c r="N58" s="223"/>
      <c r="O58" s="223"/>
      <c r="P58" s="223"/>
      <c r="Q58" s="223"/>
    </row>
    <row r="60" spans="1:17" ht="15.75" thickBot="1" x14ac:dyDescent="0.3"/>
    <row r="61" spans="1:17" ht="15.75" thickBot="1" x14ac:dyDescent="0.3">
      <c r="Q61" s="229"/>
    </row>
    <row r="62" spans="1:17" x14ac:dyDescent="0.25">
      <c r="M62" s="227"/>
      <c r="N62" s="228"/>
      <c r="O62" s="228"/>
      <c r="P62" s="228"/>
      <c r="Q62" s="228"/>
    </row>
    <row r="63" spans="1:17" x14ac:dyDescent="0.25">
      <c r="M63" s="223"/>
      <c r="N63" s="223"/>
      <c r="O63" s="223"/>
      <c r="P63" s="223"/>
      <c r="Q63" s="223"/>
    </row>
    <row r="64" spans="1:17" x14ac:dyDescent="0.25">
      <c r="M64" s="223"/>
      <c r="N64" s="223"/>
      <c r="O64" s="223"/>
      <c r="P64" s="223"/>
      <c r="Q64" s="223"/>
    </row>
    <row r="65" spans="13:17" x14ac:dyDescent="0.25">
      <c r="M65" s="223"/>
      <c r="N65" s="223"/>
      <c r="O65" s="223"/>
      <c r="P65" s="223"/>
      <c r="Q65" s="223"/>
    </row>
    <row r="66" spans="13:17" x14ac:dyDescent="0.25">
      <c r="M66" s="223"/>
      <c r="N66" s="223"/>
      <c r="O66" s="223"/>
      <c r="P66" s="223"/>
      <c r="Q66" s="223"/>
    </row>
    <row r="67" spans="13:17" x14ac:dyDescent="0.25">
      <c r="M67" s="223"/>
      <c r="N67" s="223"/>
      <c r="O67" s="223"/>
      <c r="P67" s="223"/>
      <c r="Q67" s="223"/>
    </row>
    <row r="68" spans="13:17" x14ac:dyDescent="0.25">
      <c r="M68" s="223"/>
      <c r="N68" s="223"/>
      <c r="O68" s="223"/>
      <c r="P68" s="223"/>
      <c r="Q68" s="223"/>
    </row>
    <row r="69" spans="13:17" x14ac:dyDescent="0.25">
      <c r="M69" s="230"/>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2017-05-02T16:42:24Z</dcterms:modified>
</cp:coreProperties>
</file>