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Holland\"/>
    </mc:Choice>
  </mc:AlternateContent>
  <bookViews>
    <workbookView xWindow="0" yWindow="0" windowWidth="28800" windowHeight="11610" tabRatio="838" firstSheet="1" activeTab="7"/>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9" i="198"/>
  <c r="P69" i="198"/>
  <c r="Q69"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P58" i="198"/>
  <c r="Q58" i="198"/>
  <c r="O58" i="198"/>
  <c r="N58"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E34" i="201"/>
  <c r="D34" i="201"/>
  <c r="G34" i="201" s="1"/>
  <c r="D33" i="201"/>
  <c r="G33" i="201" s="1"/>
  <c r="D32" i="201"/>
  <c r="G32" i="201" s="1"/>
  <c r="D31" i="201"/>
  <c r="G31" i="201" s="1"/>
  <c r="D30" i="201"/>
  <c r="G30" i="201" s="1"/>
  <c r="D29" i="201"/>
  <c r="G29" i="201" s="1"/>
  <c r="D28" i="201"/>
  <c r="G28" i="201" s="1"/>
  <c r="D27" i="201"/>
  <c r="G27" i="201" s="1"/>
  <c r="E26" i="201"/>
  <c r="D26" i="201"/>
  <c r="G26" i="201" s="1"/>
  <c r="D25" i="201"/>
  <c r="G25" i="201" s="1"/>
  <c r="D24" i="201"/>
  <c r="G24" i="201" s="1"/>
  <c r="D23" i="201"/>
  <c r="G23" i="201" s="1"/>
  <c r="G22" i="201"/>
  <c r="D22" i="201"/>
  <c r="G21" i="201"/>
  <c r="D21" i="201"/>
  <c r="D20" i="201"/>
  <c r="D19" i="201"/>
  <c r="G19" i="201" s="1"/>
  <c r="G18" i="201"/>
  <c r="D18" i="201"/>
  <c r="G17" i="201"/>
  <c r="E17" i="201"/>
  <c r="D17" i="201"/>
  <c r="D16" i="201"/>
  <c r="D15" i="201"/>
  <c r="G15" i="201" s="1"/>
  <c r="G14" i="201"/>
  <c r="D14" i="201"/>
  <c r="G13" i="201"/>
  <c r="D13" i="201"/>
  <c r="D12" i="201"/>
  <c r="D11" i="201"/>
  <c r="G11" i="201" s="1"/>
  <c r="G10" i="201"/>
  <c r="D10" i="201"/>
  <c r="E10" i="201" s="1"/>
  <c r="G9" i="201"/>
  <c r="D9" i="201"/>
  <c r="D8" i="201"/>
  <c r="E5" i="201"/>
  <c r="E4" i="201"/>
  <c r="D3" i="201"/>
  <c r="E3" i="201" s="1"/>
  <c r="C3" i="201"/>
  <c r="B3" i="201"/>
  <c r="G8" i="201" l="1"/>
  <c r="E8" i="201"/>
  <c r="H14" i="201"/>
  <c r="H19" i="201"/>
  <c r="E56" i="201"/>
  <c r="E54" i="201"/>
  <c r="E52" i="201"/>
  <c r="H52" i="201" s="1"/>
  <c r="E50" i="201"/>
  <c r="H50" i="201" s="1"/>
  <c r="E48" i="201"/>
  <c r="E46" i="201"/>
  <c r="E44" i="201"/>
  <c r="H44" i="201" s="1"/>
  <c r="E42" i="201"/>
  <c r="H42" i="201" s="1"/>
  <c r="H10" i="201"/>
  <c r="E13" i="201"/>
  <c r="H15" i="201"/>
  <c r="G20" i="201"/>
  <c r="H20" i="201" s="1"/>
  <c r="E20" i="201"/>
  <c r="E22" i="201"/>
  <c r="E24" i="201"/>
  <c r="H24" i="201" s="1"/>
  <c r="E32" i="201"/>
  <c r="E40" i="201"/>
  <c r="E9" i="201"/>
  <c r="H9" i="201" s="1"/>
  <c r="G16" i="201"/>
  <c r="H16" i="201" s="1"/>
  <c r="E16" i="201"/>
  <c r="E18" i="201"/>
  <c r="H18" i="201" s="1"/>
  <c r="H22" i="201"/>
  <c r="E30" i="201"/>
  <c r="E38" i="201"/>
  <c r="G12" i="201"/>
  <c r="E12" i="201"/>
  <c r="E14" i="201"/>
  <c r="E21" i="201"/>
  <c r="E28" i="201"/>
  <c r="H28" i="201" s="1"/>
  <c r="E36" i="201"/>
  <c r="H13" i="201"/>
  <c r="H17" i="201"/>
  <c r="H21" i="201"/>
  <c r="H27" i="201"/>
  <c r="H29" i="201"/>
  <c r="H35" i="201"/>
  <c r="H37" i="201"/>
  <c r="H43" i="201"/>
  <c r="H45" i="201"/>
  <c r="H51" i="201"/>
  <c r="H53" i="201"/>
  <c r="E11" i="201"/>
  <c r="H11" i="201" s="1"/>
  <c r="E15" i="201"/>
  <c r="E19" i="201"/>
  <c r="E23" i="201"/>
  <c r="H23" i="201" s="1"/>
  <c r="E25" i="201"/>
  <c r="H25" i="201" s="1"/>
  <c r="E27" i="201"/>
  <c r="E29" i="201"/>
  <c r="E31" i="201"/>
  <c r="H31" i="201" s="1"/>
  <c r="E33" i="201"/>
  <c r="H33" i="201" s="1"/>
  <c r="E35" i="201"/>
  <c r="E37" i="201"/>
  <c r="E39" i="201"/>
  <c r="H39" i="201" s="1"/>
  <c r="E41" i="201"/>
  <c r="H41" i="201" s="1"/>
  <c r="E43" i="201"/>
  <c r="E45" i="201"/>
  <c r="E47" i="201"/>
  <c r="H47" i="201" s="1"/>
  <c r="E49" i="201"/>
  <c r="H49" i="201" s="1"/>
  <c r="E51" i="201"/>
  <c r="E53" i="201"/>
  <c r="E55" i="201"/>
  <c r="H55" i="201" s="1"/>
  <c r="E57" i="201"/>
  <c r="H57" i="201" s="1"/>
  <c r="H26" i="201"/>
  <c r="H30" i="201"/>
  <c r="H32" i="201"/>
  <c r="H34" i="201"/>
  <c r="H36" i="201"/>
  <c r="H38" i="201"/>
  <c r="H40" i="201"/>
  <c r="H46" i="201"/>
  <c r="H48" i="201"/>
  <c r="H54" i="201"/>
  <c r="H56" i="201"/>
  <c r="H12" i="201" l="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P29" i="198"/>
  <c r="Q29" i="198"/>
  <c r="N2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O29" i="198" s="1"/>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S64" i="197"/>
  <c r="AE68" i="197"/>
  <c r="AA88" i="197"/>
  <c r="T96" i="197"/>
  <c r="AB112" i="197"/>
  <c r="S116" i="197"/>
  <c r="AE120" i="197"/>
  <c r="AA124" i="197"/>
  <c r="X128" i="197"/>
  <c r="S132" i="197"/>
  <c r="AB140" i="197"/>
  <c r="W144" i="197"/>
  <c r="AA145" i="197"/>
  <c r="T148" i="197"/>
  <c r="AE152" i="197"/>
  <c r="AA156" i="197"/>
  <c r="X160" i="197"/>
  <c r="S164" i="197"/>
  <c r="AB168" i="197"/>
  <c r="AB172" i="197"/>
  <c r="T176" i="197"/>
  <c r="AE176" i="197"/>
  <c r="T180" i="197"/>
  <c r="AE180" i="197"/>
  <c r="AD181" i="197"/>
  <c r="W184" i="197"/>
  <c r="V188" i="197"/>
  <c r="AD188" i="197"/>
  <c r="Y192" i="197"/>
  <c r="V196" i="197"/>
  <c r="AD196" i="197"/>
  <c r="Y200" i="197"/>
  <c r="V204" i="197"/>
  <c r="AD204" i="197"/>
  <c r="Y208" i="197"/>
  <c r="V212" i="197"/>
  <c r="AD212" i="197"/>
  <c r="Y216" i="197"/>
  <c r="V220" i="197"/>
  <c r="AD220" i="197"/>
  <c r="Y224" i="197"/>
  <c r="V228" i="197"/>
  <c r="AD228" i="197"/>
  <c r="Y232" i="197"/>
  <c r="T236" i="197"/>
  <c r="Y236" i="197"/>
  <c r="AD236" i="197"/>
  <c r="X237" i="197"/>
  <c r="V240" i="197"/>
  <c r="AB240" i="197"/>
  <c r="V244" i="197"/>
  <c r="AB244" i="197"/>
  <c r="U245" i="197"/>
  <c r="X248" i="197"/>
  <c r="AC248" i="197"/>
  <c r="R12" i="197"/>
  <c r="R28" i="197"/>
  <c r="R44" i="197"/>
  <c r="R60" i="197"/>
  <c r="R76" i="197"/>
  <c r="R92" i="197"/>
  <c r="R108"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U235" i="197" l="1"/>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9" i="186"/>
  <c r="F37" i="186"/>
  <c r="F35" i="186"/>
  <c r="F33" i="186"/>
  <c r="F32" i="186"/>
  <c r="F29" i="186"/>
  <c r="F28" i="186"/>
  <c r="F27" i="186"/>
  <c r="E41" i="186"/>
  <c r="F38" i="186" s="1"/>
  <c r="F31" i="186" l="1"/>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C83" i="188" s="1"/>
  <c r="P9" i="199"/>
  <c r="W8" i="199"/>
  <c r="N8" i="199"/>
  <c r="V5" i="199"/>
  <c r="D73" i="188" s="1"/>
  <c r="Q5" i="199"/>
  <c r="T4" i="199"/>
  <c r="U8" i="199"/>
  <c r="P10" i="199"/>
  <c r="W9" i="199"/>
  <c r="N9" i="199"/>
  <c r="V6" i="199"/>
  <c r="D42" i="188" s="1"/>
  <c r="Q6" i="199"/>
  <c r="E38" i="188" s="1"/>
  <c r="T5" i="199"/>
  <c r="O10" i="199"/>
  <c r="O4" i="199"/>
  <c r="B83" i="188"/>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C73" i="188" l="1"/>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<sst xmlns="http://schemas.openxmlformats.org/spreadsheetml/2006/main" count="1659" uniqueCount="573">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</sst>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154</c:v>
                </c:pt>
                <c:pt idx="1">
                  <c:v>549.99999999999989</c:v>
                </c:pt>
                <c:pt idx="2">
                  <c:v>901.99999999999989</c:v>
                </c:pt>
                <c:pt idx="3">
                  <c:v>1397</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20448.999999999996</c:v>
                </c:pt>
                <c:pt idx="1">
                  <c:v>16169.999999999998</c:v>
                </c:pt>
                <c:pt idx="2">
                  <c:v>12408</c:v>
                </c:pt>
                <c:pt idx="3">
                  <c:v>8250</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2276.9999999999995</c:v>
                </c:pt>
                <c:pt idx="1">
                  <c:v>2057</c:v>
                </c:pt>
                <c:pt idx="2">
                  <c:v>1122</c:v>
                </c:pt>
                <c:pt idx="3">
                  <c:v>340.99999999999994</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253</c:v>
                </c:pt>
                <c:pt idx="1">
                  <c:v>1210</c:v>
                </c:pt>
                <c:pt idx="2">
                  <c:v>2474.9999999999995</c:v>
                </c:pt>
                <c:pt idx="3">
                  <c:v>2969.9999999999995</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176</c:v>
                </c:pt>
                <c:pt idx="1">
                  <c:v>506</c:v>
                </c:pt>
                <c:pt idx="2">
                  <c:v>990</c:v>
                </c:pt>
                <c:pt idx="3">
                  <c:v>1386</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1319.9999999999998</c:v>
                </c:pt>
                <c:pt idx="1">
                  <c:v>1529</c:v>
                </c:pt>
                <c:pt idx="2">
                  <c:v>1771</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7776.9999999999991</c:v>
                </c:pt>
                <c:pt idx="1">
                  <c:v>6082.9999999999991</c:v>
                </c:pt>
                <c:pt idx="2">
                  <c:v>3893.9999999999995</c:v>
                </c:pt>
                <c:pt idx="3">
                  <c:v>1363.9999999999998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18634</c:v>
                </c:pt>
                <c:pt idx="1">
                  <c:v>12517.999999999998</c:v>
                </c:pt>
                <c:pt idx="2">
                  <c:v>6611</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3476</c:v>
                </c:pt>
                <c:pt idx="1">
                  <c:v>3882.9999999999995</c:v>
                </c:pt>
                <c:pt idx="2">
                  <c:v>3486.9999999999995</c:v>
                </c:pt>
                <c:pt idx="3">
                  <c:v>3256</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1440.9999999999998</c:v>
                </c:pt>
                <c:pt idx="1">
                  <c:v>2409</c:v>
                </c:pt>
                <c:pt idx="2">
                  <c:v>5104</c:v>
                </c:pt>
                <c:pt idx="3">
                  <c:v>7491</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591967440"/>
        <c:axId val="591967768"/>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5919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768"/>
        <c:crosses val="autoZero"/>
        <c:auto val="1"/>
        <c:lblAlgn val="ctr"/>
        <c:lblOffset val="100"/>
        <c:noMultiLvlLbl val="0"/>
      </c:catAx>
      <c:valAx>
        <c:axId val="59196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440"/>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16</c:v>
                </c:pt>
                <c:pt idx="1">
                  <c:v>98</c:v>
                </c:pt>
                <c:pt idx="2">
                  <c:v>184</c:v>
                </c:pt>
                <c:pt idx="3">
                  <c:v>328</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816.00000000000011</c:v>
                </c:pt>
                <c:pt idx="1">
                  <c:v>608</c:v>
                </c:pt>
                <c:pt idx="2">
                  <c:v>374</c:v>
                </c:pt>
                <c:pt idx="3">
                  <c:v>2</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1488</c:v>
                </c:pt>
                <c:pt idx="1">
                  <c:v>1474</c:v>
                </c:pt>
                <c:pt idx="2">
                  <c:v>1428</c:v>
                </c:pt>
                <c:pt idx="3">
                  <c:v>1384.0000000000002</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598</c:v>
                </c:pt>
                <c:pt idx="1">
                  <c:v>516</c:v>
                </c:pt>
                <c:pt idx="2">
                  <c:v>418</c:v>
                </c:pt>
                <c:pt idx="3">
                  <c:v>266</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84</c:v>
                </c:pt>
                <c:pt idx="1">
                  <c:v>62</c:v>
                </c:pt>
                <c:pt idx="2">
                  <c:v>38</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282</c:v>
                </c:pt>
                <c:pt idx="1">
                  <c:v>386</c:v>
                </c:pt>
                <c:pt idx="2">
                  <c:v>488</c:v>
                </c:pt>
                <c:pt idx="3">
                  <c:v>664</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28</c:v>
                </c:pt>
                <c:pt idx="1">
                  <c:v>174.00000000000003</c:v>
                </c:pt>
                <c:pt idx="2">
                  <c:v>330</c:v>
                </c:pt>
                <c:pt idx="3">
                  <c:v>586</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630624616"/>
        <c:axId val="630625928"/>
      </c:barChart>
      <c:catAx>
        <c:axId val="63062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5928"/>
        <c:crosses val="autoZero"/>
        <c:auto val="1"/>
        <c:lblAlgn val="ctr"/>
        <c:lblOffset val="100"/>
        <c:noMultiLvlLbl val="0"/>
      </c:catAx>
      <c:valAx>
        <c:axId val="6306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4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32153</c:v>
                </c:pt>
                <c:pt idx="1">
                  <c:v>23034</c:v>
                </c:pt>
                <c:pt idx="2">
                  <c:v>12825.999999999998</c:v>
                </c:pt>
                <c:pt idx="3">
                  <c:v>1000.9999999999999</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4290</c:v>
                </c:pt>
                <c:pt idx="1">
                  <c:v>2860</c:v>
                </c:pt>
                <c:pt idx="2">
                  <c:v>1551</c:v>
                </c:pt>
                <c:pt idx="3">
                  <c:v>176</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33</c:v>
                </c:pt>
                <c:pt idx="1">
                  <c:v>901.99999999999989</c:v>
                </c:pt>
                <c:pt idx="2">
                  <c:v>2618</c:v>
                </c:pt>
                <c:pt idx="3">
                  <c:v>5071</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1077.9999999999998</c:v>
                </c:pt>
                <c:pt idx="1">
                  <c:v>670.99999999999989</c:v>
                </c:pt>
                <c:pt idx="2">
                  <c:v>363</c:v>
                </c:pt>
                <c:pt idx="3">
                  <c:v>11</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88</c:v>
                </c:pt>
                <c:pt idx="1">
                  <c:v>418</c:v>
                </c:pt>
                <c:pt idx="2">
                  <c:v>670.99999999999989</c:v>
                </c:pt>
                <c:pt idx="3">
                  <c:v>957</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2904</c:v>
                </c:pt>
                <c:pt idx="2">
                  <c:v>8404</c:v>
                </c:pt>
                <c:pt idx="3">
                  <c:v>15202</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623889856"/>
        <c:axId val="623884936"/>
      </c:barChart>
      <c:catAx>
        <c:axId val="6238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4936"/>
        <c:crosses val="autoZero"/>
        <c:auto val="1"/>
        <c:lblAlgn val="ctr"/>
        <c:lblOffset val="100"/>
        <c:noMultiLvlLbl val="0"/>
      </c:catAx>
      <c:valAx>
        <c:axId val="62388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9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9.4600851270359762E-2</v>
      </c>
      <c r="I4" s="4">
        <f>res_share_state_target*'LEAP Statewide'!I4</f>
        <v>0.57200514721612883</v>
      </c>
      <c r="J4" s="4">
        <f>res_share_state_target*'LEAP Statewide'!J4</f>
        <v>1.0791097104211969</v>
      </c>
      <c r="K4" s="5">
        <f>res_share_state_target*'LEAP Statewide'!K4</f>
        <v>1.9866178766775551</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7.8394861762578309E-3</v>
      </c>
      <c r="U4" s="4">
        <f ca="1">com_share_state_target*'LEAP Statewide'!U4</f>
        <v>4.9015816480680027E-2</v>
      </c>
      <c r="V4" s="4">
        <f ca="1">com_share_state_target*'LEAP Statewide'!V4</f>
        <v>9.1961739538480816E-2</v>
      </c>
      <c r="W4" s="5">
        <f ca="1">com_share_state_target*'LEAP Statewide'!W4</f>
        <v>0.16352559271543637</v>
      </c>
      <c r="Y4" s="23"/>
    </row>
    <row r="5" spans="1:25" x14ac:dyDescent="0.25">
      <c r="A5" s="1" t="s">
        <v>3</v>
      </c>
      <c r="B5" s="4">
        <f>res_share_state_target*'LEAP Statewide'!B5</f>
        <v>8.3369750206750783</v>
      </c>
      <c r="C5" s="4">
        <f>res_share_state_target*'LEAP Statewide'!C5</f>
        <v>7.6802691112750221</v>
      </c>
      <c r="D5" s="4">
        <f>res_share_state_target*'LEAP Statewide'!D5</f>
        <v>7.1467643105061329</v>
      </c>
      <c r="E5" s="5">
        <f>res_share_state_target*'LEAP Statewide'!E5</f>
        <v>6.4724582427301964</v>
      </c>
      <c r="G5" s="1" t="s">
        <v>3</v>
      </c>
      <c r="H5" s="4">
        <f>res_share_state_target*'LEAP Statewide'!H5</f>
        <v>8.3622752483404064</v>
      </c>
      <c r="I5" s="4">
        <f>res_share_state_target*'LEAP Statewide'!I5</f>
        <v>7.8496706356428758</v>
      </c>
      <c r="J5" s="4">
        <f>res_share_state_target*'LEAP Statewide'!J5</f>
        <v>7.3282659437574038</v>
      </c>
      <c r="K5" s="5">
        <f>res_share_state_target*'LEAP Statewide'!K5</f>
        <v>6.9784627960367711</v>
      </c>
      <c r="L5" s="21"/>
      <c r="M5" s="1" t="s">
        <v>14</v>
      </c>
      <c r="N5" s="4">
        <f ca="1">com_share_state_target*'LEAP Statewide'!N5</f>
        <v>0.73714003511705906</v>
      </c>
      <c r="O5" s="4">
        <f ca="1">com_share_state_target*'LEAP Statewide'!O5</f>
        <v>0.59557261484677204</v>
      </c>
      <c r="P5" s="4">
        <f ca="1">com_share_state_target*'LEAP Statewide'!P5</f>
        <v>0.43250369122898175</v>
      </c>
      <c r="Q5" s="5">
        <f ca="1">com_share_state_target*'LEAP Statewide'!Q5</f>
        <v>0.17657871775648706</v>
      </c>
      <c r="R5" s="2"/>
      <c r="S5" s="1" t="s">
        <v>14</v>
      </c>
      <c r="T5" s="4">
        <f ca="1">com_share_state_target*'LEAP Statewide'!T5</f>
        <v>0.72905318651290962</v>
      </c>
      <c r="U5" s="4">
        <f ca="1">com_share_state_target*'LEAP Statewide'!U5</f>
        <v>0.54531998622663391</v>
      </c>
      <c r="V5" s="4">
        <f ca="1">com_share_state_target*'LEAP Statewide'!V5</f>
        <v>0.33818249468599615</v>
      </c>
      <c r="W5" s="5">
        <f ca="1">com_share_state_target*'LEAP Statewide'!W5</f>
        <v>8.8289358878243518E-3</v>
      </c>
      <c r="Y5" s="92"/>
    </row>
    <row r="6" spans="1:25" x14ac:dyDescent="0.25">
      <c r="A6" s="1" t="s">
        <v>4</v>
      </c>
      <c r="B6" s="4">
        <f>res_share_state_target*'LEAP Statewide'!B6</f>
        <v>1.2650113832664387</v>
      </c>
      <c r="C6" s="4">
        <f>res_share_state_target*'LEAP Statewide'!C6</f>
        <v>1.0252092253950615</v>
      </c>
      <c r="D6" s="4">
        <f>res_share_state_target*'LEAP Statewide'!D6</f>
        <v>0.69850628554277272</v>
      </c>
      <c r="E6" s="5">
        <f>res_share_state_target*'LEAP Statewide'!E6</f>
        <v>0.27610248452163139</v>
      </c>
      <c r="G6" s="1" t="s">
        <v>4</v>
      </c>
      <c r="H6" s="4">
        <f>res_share_state_target*'LEAP Statewide'!H6</f>
        <v>1.2727114525558867</v>
      </c>
      <c r="I6" s="4">
        <f>res_share_state_target*'LEAP Statewide'!I6</f>
        <v>1.0450094035679276</v>
      </c>
      <c r="J6" s="4">
        <f>res_share_state_target*'LEAP Statewide'!J6</f>
        <v>0.60830547386638312</v>
      </c>
      <c r="K6" s="5">
        <f>res_share_state_target*'LEAP Statewide'!K6</f>
        <v>0.19690177183016741</v>
      </c>
      <c r="L6" s="21"/>
      <c r="M6" s="1" t="s">
        <v>15</v>
      </c>
      <c r="N6" s="89">
        <f ca="1">com_share_state_target*'LEAP Statewide'!N6</f>
        <v>1.3544044321020203</v>
      </c>
      <c r="O6" s="89">
        <f ca="1">com_share_state_target*'LEAP Statewide'!O6</f>
        <v>1.3684850626127747</v>
      </c>
      <c r="P6" s="89">
        <f ca="1">com_share_state_target*'LEAP Statewide'!P6</f>
        <v>1.3557363836368215</v>
      </c>
      <c r="Q6" s="90">
        <f ca="1">com_share_state_target*'LEAP Statewide'!Q6</f>
        <v>1.362015583729455</v>
      </c>
      <c r="R6" s="4"/>
      <c r="S6" s="1" t="s">
        <v>15</v>
      </c>
      <c r="T6" s="89">
        <f ca="1">com_share_state_target*'LEAP Statewide'!T6</f>
        <v>1.3543854042229517</v>
      </c>
      <c r="U6" s="89">
        <f ca="1">com_share_state_target*'LEAP Statewide'!U6</f>
        <v>1.3684279789755689</v>
      </c>
      <c r="V6" s="89">
        <f ca="1">com_share_state_target*'LEAP Statewide'!V6</f>
        <v>1.3556602721205471</v>
      </c>
      <c r="W6" s="90">
        <f ca="1">com_share_state_target*'LEAP Statewide'!W6</f>
        <v>1.3620916952457294</v>
      </c>
      <c r="Y6" s="92"/>
    </row>
    <row r="7" spans="1:25" x14ac:dyDescent="0.25">
      <c r="A7" s="1" t="s">
        <v>5</v>
      </c>
      <c r="B7" s="4">
        <f>res_share_state_target*'LEAP Statewide'!B7</f>
        <v>0.12760114822513643</v>
      </c>
      <c r="C7" s="4">
        <f>res_share_state_target*'LEAP Statewide'!C7</f>
        <v>0.71830646371563867</v>
      </c>
      <c r="D7" s="4">
        <f>res_share_state_target*'LEAP Statewide'!D7</f>
        <v>1.3541121850443356</v>
      </c>
      <c r="E7" s="5">
        <f>res_share_state_target*'LEAP Statewide'!E7</f>
        <v>1.8678168076403592</v>
      </c>
      <c r="G7" s="1" t="s">
        <v>5</v>
      </c>
      <c r="H7" s="4">
        <f>res_share_state_target*'LEAP Statewide'!H7</f>
        <v>0.22330200939398875</v>
      </c>
      <c r="I7" s="4">
        <f>res_share_state_target*'LEAP Statewide'!I7</f>
        <v>1.2507112545860355</v>
      </c>
      <c r="J7" s="4">
        <f>res_share_state_target*'LEAP Statewide'!J7</f>
        <v>2.4156217370896518</v>
      </c>
      <c r="K7" s="5">
        <f>res_share_state_target*'LEAP Statewide'!K7</f>
        <v>3.3275299429399801</v>
      </c>
      <c r="M7" s="1" t="s">
        <v>8</v>
      </c>
      <c r="N7" s="4">
        <f ca="1">com_share_state_target*'LEAP Statewide'!N7</f>
        <v>0.55123765661696444</v>
      </c>
      <c r="O7" s="4">
        <f ca="1">com_share_state_target*'LEAP Statewide'!O7</f>
        <v>0.56607940229046227</v>
      </c>
      <c r="P7" s="4">
        <f ca="1">com_share_state_target*'LEAP Statewide'!P7</f>
        <v>0.57026553568555138</v>
      </c>
      <c r="Q7" s="5">
        <f ca="1">com_share_state_target*'LEAP Statewide'!Q7</f>
        <v>0.58872257838208075</v>
      </c>
      <c r="R7" s="4"/>
      <c r="S7" s="1" t="s">
        <v>8</v>
      </c>
      <c r="T7" s="4">
        <f ca="1">com_share_state_target*'LEAP Statewide'!T7</f>
        <v>0.53565382365979164</v>
      </c>
      <c r="U7" s="4">
        <f ca="1">com_share_state_target*'LEAP Statewide'!U7</f>
        <v>0.46802874145003359</v>
      </c>
      <c r="V7" s="4">
        <f ca="1">com_share_state_target*'LEAP Statewide'!V7</f>
        <v>0.38638011236672692</v>
      </c>
      <c r="W7" s="5">
        <f ca="1">com_share_state_target*'LEAP Statewide'!W7</f>
        <v>0.2616333371930708</v>
      </c>
      <c r="Y7" s="92"/>
    </row>
    <row r="8" spans="1:25" x14ac:dyDescent="0.25">
      <c r="A8" s="1" t="s">
        <v>6</v>
      </c>
      <c r="B8" s="4">
        <f>res_share_state_target*'LEAP Statewide'!B8</f>
        <v>1.430012868040322E-2</v>
      </c>
      <c r="C8" s="4">
        <f>res_share_state_target*'LEAP Statewide'!C8</f>
        <v>0.10560095025528532</v>
      </c>
      <c r="D8" s="4">
        <f>res_share_state_target*'LEAP Statewide'!D8</f>
        <v>0.35970323680706562</v>
      </c>
      <c r="E8" s="5">
        <f>res_share_state_target*'LEAP Statewide'!E8</f>
        <v>0.74690672107644518</v>
      </c>
      <c r="G8" s="1" t="s">
        <v>6</v>
      </c>
      <c r="H8" s="4">
        <f>res_share_state_target*'LEAP Statewide'!H8</f>
        <v>6.1600554315583103E-2</v>
      </c>
      <c r="I8" s="4">
        <f>res_share_state_target*'LEAP Statewide'!I8</f>
        <v>0.38280344467540928</v>
      </c>
      <c r="J8" s="4">
        <f>res_share_state_target*'LEAP Statewide'!J8</f>
        <v>0.8327074931588645</v>
      </c>
      <c r="K8" s="5">
        <f>res_share_state_target*'LEAP Statewide'!K8</f>
        <v>1.3816124325066497</v>
      </c>
      <c r="M8" s="1" t="s">
        <v>9</v>
      </c>
      <c r="N8" s="4">
        <f ca="1">com_share_state_target*'LEAP Statewide'!N8</f>
        <v>0.53106810480426225</v>
      </c>
      <c r="O8" s="4">
        <f ca="1">com_share_state_target*'LEAP Statewide'!O8</f>
        <v>0.64504510042509822</v>
      </c>
      <c r="P8" s="4">
        <f ca="1">com_share_state_target*'LEAP Statewide'!P8</f>
        <v>0.75369428990672971</v>
      </c>
      <c r="Q8" s="5">
        <f ca="1">com_share_state_target*'LEAP Statewide'!Q8</f>
        <v>0.94511475333671469</v>
      </c>
      <c r="R8" s="4"/>
      <c r="S8" s="1" t="s">
        <v>9</v>
      </c>
      <c r="T8" s="4">
        <f ca="1">com_share_state_target*'LEAP Statewide'!T8</f>
        <v>0.49242248241596215</v>
      </c>
      <c r="U8" s="4">
        <f ca="1">com_share_state_target*'LEAP Statewide'!U8</f>
        <v>0.40344811989124951</v>
      </c>
      <c r="V8" s="4">
        <f ca="1">com_share_state_target*'LEAP Statewide'!V8</f>
        <v>0.30031701533950811</v>
      </c>
      <c r="W8" s="5">
        <f ca="1">com_share_state_target*'LEAP Statewide'!W8</f>
        <v>0.13897962871695921</v>
      </c>
      <c r="Y8" s="23"/>
    </row>
    <row r="9" spans="1:25" x14ac:dyDescent="0.25">
      <c r="A9" s="1" t="s">
        <v>7</v>
      </c>
      <c r="B9" s="4">
        <f>res_share_state_target*'LEAP Statewide'!B9</f>
        <v>1.0703096312332565</v>
      </c>
      <c r="C9" s="4">
        <f>res_share_state_target*'LEAP Statewide'!C9</f>
        <v>0.85910773072268576</v>
      </c>
      <c r="D9" s="4">
        <f>res_share_state_target*'LEAP Statewide'!D9</f>
        <v>0.65560589950156301</v>
      </c>
      <c r="E9" s="5">
        <f>res_share_state_target*'LEAP Statewide'!E9</f>
        <v>0.32450292005530385</v>
      </c>
      <c r="G9" s="1" t="s">
        <v>7</v>
      </c>
      <c r="H9" s="4">
        <f>res_share_state_target*'LEAP Statewide'!H9</f>
        <v>1.0505094530603905</v>
      </c>
      <c r="I9" s="4">
        <f>res_share_state_target*'LEAP Statewide'!I9</f>
        <v>0.7568068101628781</v>
      </c>
      <c r="J9" s="4">
        <f>res_share_state_target*'LEAP Statewide'!J9</f>
        <v>0.46970422665632117</v>
      </c>
      <c r="K9" s="5">
        <f>res_share_state_target*'LEAP Statewide'!K9</f>
        <v>0</v>
      </c>
      <c r="L9" s="21"/>
      <c r="M9" s="1" t="s">
        <v>16</v>
      </c>
      <c r="N9" s="4">
        <f ca="1">com_share_state_target*'LEAP Statewide'!N9</f>
        <v>7.4779564739546778E-2</v>
      </c>
      <c r="O9" s="4">
        <f ca="1">com_share_state_target*'LEAP Statewide'!O9</f>
        <v>5.5751685670959811E-2</v>
      </c>
      <c r="P9" s="4">
        <f ca="1">com_share_state_target*'LEAP Statewide'!P9</f>
        <v>3.4250182323456543E-2</v>
      </c>
      <c r="Q9" s="5">
        <f ca="1">com_share_state_target*'LEAP Statewide'!Q9</f>
        <v>0</v>
      </c>
      <c r="R9" s="2"/>
      <c r="S9" s="1" t="s">
        <v>16</v>
      </c>
      <c r="T9" s="4">
        <f ca="1">com_share_state_target*'LEAP Statewide'!T9</f>
        <v>7.4722481102341018E-2</v>
      </c>
      <c r="U9" s="4">
        <f ca="1">com_share_state_target*'LEAP Statewide'!U9</f>
        <v>5.5656546275616878E-2</v>
      </c>
      <c r="V9" s="4">
        <f ca="1">com_share_state_target*'LEAP Statewide'!V9</f>
        <v>3.417407080718219E-2</v>
      </c>
      <c r="W9" s="5">
        <f ca="1">com_share_state_target*'LEAP Statewide'!W9</f>
        <v>0</v>
      </c>
      <c r="Y9" s="23"/>
    </row>
    <row r="10" spans="1:25" x14ac:dyDescent="0.25">
      <c r="A10" s="1" t="s">
        <v>8</v>
      </c>
      <c r="B10" s="4">
        <f>res_share_state_target*'LEAP Statewide'!B10</f>
        <v>6.1743555602387135</v>
      </c>
      <c r="C10" s="4">
        <f>res_share_state_target*'LEAP Statewide'!C10</f>
        <v>4.946744513521022</v>
      </c>
      <c r="D10" s="4">
        <f>res_share_state_target*'LEAP Statewide'!D10</f>
        <v>3.654232882792269</v>
      </c>
      <c r="E10" s="5">
        <f>res_share_state_target*'LEAP Statewide'!E10</f>
        <v>1.318911868292574</v>
      </c>
      <c r="G10" s="1" t="s">
        <v>8</v>
      </c>
      <c r="H10" s="4">
        <f>res_share_state_target*'LEAP Statewide'!H10</f>
        <v>6.1017549069382051</v>
      </c>
      <c r="I10" s="4">
        <f>res_share_state_target*'LEAP Statewide'!I10</f>
        <v>4.6618419498114498</v>
      </c>
      <c r="J10" s="4">
        <f>res_share_state_target*'LEAP Statewide'!J10</f>
        <v>3.2626293589289195</v>
      </c>
      <c r="K10" s="5">
        <f>res_share_state_target*'LEAP Statewide'!K10</f>
        <v>1.1011099083910481</v>
      </c>
      <c r="L10" s="21"/>
      <c r="M10" s="1" t="s">
        <v>17</v>
      </c>
      <c r="N10" s="4">
        <f ca="1">com_share_state_target*'LEAP Statewide'!N10</f>
        <v>0.23803876714802294</v>
      </c>
      <c r="O10" s="4">
        <f ca="1">com_share_state_target*'LEAP Statewide'!O10</f>
        <v>0.25326107040289253</v>
      </c>
      <c r="P10" s="4">
        <f ca="1">com_share_state_target*'LEAP Statewide'!P10</f>
        <v>0.26448751905335882</v>
      </c>
      <c r="Q10" s="5">
        <f ca="1">com_share_state_target*'LEAP Statewide'!Q10</f>
        <v>0.28770153151703493</v>
      </c>
      <c r="R10" s="4"/>
      <c r="S10" s="1" t="s">
        <v>17</v>
      </c>
      <c r="T10" s="4">
        <f ca="1">com_share_state_target*'LEAP Statewide'!T10</f>
        <v>0.25554441589112298</v>
      </c>
      <c r="U10" s="4">
        <f ca="1">com_share_state_target*'LEAP Statewide'!U10</f>
        <v>0.36305193262863933</v>
      </c>
      <c r="V10" s="4">
        <f ca="1">com_share_state_target*'LEAP Statewide'!V10</f>
        <v>0.47040722633360693</v>
      </c>
      <c r="W10" s="5">
        <f ca="1">com_share_state_target*'LEAP Statewide'!W10</f>
        <v>0.65406431510360841</v>
      </c>
      <c r="Y10" s="23"/>
    </row>
    <row r="11" spans="1:25" x14ac:dyDescent="0.25">
      <c r="A11" s="1" t="s">
        <v>9</v>
      </c>
      <c r="B11" s="4">
        <f>res_share_state_target*'LEAP Statewide'!B11</f>
        <v>5.3306479680949233</v>
      </c>
      <c r="C11" s="4">
        <f>res_share_state_target*'LEAP Statewide'!C11</f>
        <v>6.9190622615181736</v>
      </c>
      <c r="D11" s="4">
        <f>res_share_state_target*'LEAP Statewide'!D11</f>
        <v>8.8924800194138172</v>
      </c>
      <c r="E11" s="5">
        <f>res_share_state_target*'LEAP Statewide'!E11</f>
        <v>13.024117198151856</v>
      </c>
      <c r="G11" s="1" t="s">
        <v>9</v>
      </c>
      <c r="H11" s="4">
        <f>res_share_state_target*'LEAP Statewide'!H11</f>
        <v>4.8543436820476469</v>
      </c>
      <c r="I11" s="4">
        <f>res_share_state_target*'LEAP Statewide'!I11</f>
        <v>3.8610347437088697</v>
      </c>
      <c r="J11" s="4">
        <f>res_share_state_target*'LEAP Statewide'!J11</f>
        <v>2.1527193713499311</v>
      </c>
      <c r="K11" s="5">
        <f>res_share_state_target*'LEAP Statewide'!K11</f>
        <v>0.26730240533369098</v>
      </c>
      <c r="L11" s="21"/>
      <c r="M11" s="7" t="s">
        <v>12</v>
      </c>
      <c r="N11" s="8">
        <f ca="1">SUM(N4:N10)</f>
        <v>3.4866685605278751</v>
      </c>
      <c r="O11" s="8">
        <f ca="1">SUM(O4:O10)</f>
        <v>3.4841949362489597</v>
      </c>
      <c r="P11" s="8">
        <f ca="1">SUM(P4:P10)</f>
        <v>3.4109376018348994</v>
      </c>
      <c r="Q11" s="9">
        <f ca="1">SUM(Q4:Q10)</f>
        <v>3.3601331647217725</v>
      </c>
      <c r="R11" s="4"/>
      <c r="S11" s="7" t="s">
        <v>12</v>
      </c>
      <c r="T11" s="8">
        <f ca="1">SUM(T4:T10)</f>
        <v>3.4496212799813373</v>
      </c>
      <c r="U11" s="8">
        <f ca="1">SUM(U4:U10)</f>
        <v>3.2529491219284217</v>
      </c>
      <c r="V11" s="8">
        <f ca="1">SUM(V4:V10)</f>
        <v>2.9770829311920477</v>
      </c>
      <c r="W11" s="9">
        <f ca="1">SUM(W4:W10)</f>
        <v>2.5891235048626284</v>
      </c>
    </row>
    <row r="12" spans="1:25" x14ac:dyDescent="0.25">
      <c r="A12" s="1" t="s">
        <v>10</v>
      </c>
      <c r="B12" s="4">
        <f>res_share_state_target*'LEAP Statewide'!B12</f>
        <v>11.417002736454233</v>
      </c>
      <c r="C12" s="4">
        <f>res_share_state_target*'LEAP Statewide'!C12</f>
        <v>8.9694807123082967</v>
      </c>
      <c r="D12" s="4">
        <f>res_share_state_target*'LEAP Statewide'!D12</f>
        <v>5.9125532043974856</v>
      </c>
      <c r="E12" s="5">
        <f>res_share_state_target*'LEAP Statewide'!E12</f>
        <v>1.5829142439307873</v>
      </c>
      <c r="G12" s="1" t="s">
        <v>10</v>
      </c>
      <c r="H12" s="4">
        <f>res_share_state_target*'LEAP Statewide'!H12</f>
        <v>11.193700727060245</v>
      </c>
      <c r="I12" s="4">
        <f>res_share_state_target*'LEAP Statewide'!I12</f>
        <v>8.0212721798077133</v>
      </c>
      <c r="J12" s="4">
        <f>res_share_state_target*'LEAP Statewide'!J12</f>
        <v>4.9434444838255445</v>
      </c>
      <c r="K12" s="5">
        <f>res_share_state_target*'LEAP Statewide'!K12</f>
        <v>0</v>
      </c>
      <c r="L12" s="21"/>
    </row>
    <row r="13" spans="1:25" x14ac:dyDescent="0.25">
      <c r="A13" s="1" t="s">
        <v>11</v>
      </c>
      <c r="B13" s="4">
        <f>res_share_state_target*'LEAP Statewide'!B13</f>
        <v>0.70840637462920564</v>
      </c>
      <c r="C13" s="4">
        <f>res_share_state_target*'LEAP Statewide'!C13</f>
        <v>0.93830844341414976</v>
      </c>
      <c r="D13" s="4">
        <f>res_share_state_target*'LEAP Statewide'!D13</f>
        <v>1.1583104231126609</v>
      </c>
      <c r="E13" s="5">
        <f>res_share_state_target*'LEAP Statewide'!E13</f>
        <v>1.4982134817468604</v>
      </c>
      <c r="G13" s="1" t="s">
        <v>11</v>
      </c>
      <c r="H13" s="4">
        <f>res_share_state_target*'LEAP Statewide'!H13</f>
        <v>0.81510733478298358</v>
      </c>
      <c r="I13" s="4">
        <f>res_share_state_target*'LEAP Statewide'!I13</f>
        <v>1.4916134223559052</v>
      </c>
      <c r="J13" s="4">
        <f>res_share_state_target*'LEAP Statewide'!J13</f>
        <v>2.0097180845458986</v>
      </c>
      <c r="K13" s="5">
        <f>res_share_state_target*'LEAP Statewide'!K13</f>
        <v>2.501422509172071</v>
      </c>
      <c r="L13" s="21"/>
      <c r="N13" s="21"/>
      <c r="O13" s="21"/>
      <c r="P13" s="21"/>
      <c r="Q13" s="21"/>
      <c r="T13" s="21"/>
      <c r="U13" s="21"/>
      <c r="V13" s="21"/>
      <c r="W13" s="21"/>
    </row>
    <row r="14" spans="1:25" x14ac:dyDescent="0.25">
      <c r="A14" s="7" t="s">
        <v>12</v>
      </c>
      <c r="B14" s="8">
        <f>SUM(B4:B13)</f>
        <v>34.444609951497384</v>
      </c>
      <c r="C14" s="8">
        <f>SUM(C4:C13)</f>
        <v>32.162089412125333</v>
      </c>
      <c r="D14" s="8">
        <f>SUM(D4:D13)</f>
        <v>29.832268447118103</v>
      </c>
      <c r="E14" s="9">
        <f>SUM(E4:E13)</f>
        <v>27.111943968146015</v>
      </c>
      <c r="G14" s="7" t="s">
        <v>12</v>
      </c>
      <c r="H14" s="8">
        <f>SUM(H4:H13)</f>
        <v>34.029906219765699</v>
      </c>
      <c r="I14" s="8">
        <f>SUM(I4:I13)</f>
        <v>29.892768991535192</v>
      </c>
      <c r="J14" s="8">
        <f>SUM(J4:J13)</f>
        <v>25.102225883600113</v>
      </c>
      <c r="K14" s="9">
        <f>SUM(K4:K13)</f>
        <v>17.740959642887933</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30.800277157791552</v>
      </c>
      <c r="C24" s="4">
        <f>res_share_state_target*'LEAP Statewide'!C24*1000</f>
        <v>25.300227665328773</v>
      </c>
      <c r="D24" s="4">
        <f>res_share_state_target*'LEAP Statewide'!D24*1000</f>
        <v>22.000197969851108</v>
      </c>
      <c r="E24" s="5">
        <f>res_share_state_target*'LEAP Statewide'!E24*1000</f>
        <v>18.700168274373443</v>
      </c>
      <c r="G24" s="1" t="s">
        <v>21</v>
      </c>
      <c r="H24" s="4">
        <f>res_share_state_target*'LEAP Statewide'!H24*1000</f>
        <v>30.800277157791552</v>
      </c>
      <c r="I24" s="4">
        <f>res_share_state_target*'LEAP Statewide'!I24*1000</f>
        <v>25.300227665328773</v>
      </c>
      <c r="J24" s="4">
        <f>res_share_state_target*'LEAP Statewide'!J24*1000</f>
        <v>12.100108883418109</v>
      </c>
      <c r="K24" s="5">
        <f>res_share_state_target*'LEAP Statewide'!K24*1000</f>
        <v>1.1000098984925555</v>
      </c>
    </row>
    <row r="25" spans="1:16" x14ac:dyDescent="0.25">
      <c r="A25" s="1" t="s">
        <v>22</v>
      </c>
      <c r="B25" s="4">
        <f>res_share_state_target*'LEAP Statewide'!B25*1000</f>
        <v>4.4000395939702219</v>
      </c>
      <c r="C25" s="4">
        <f>res_share_state_target*'LEAP Statewide'!C25*1000</f>
        <v>3.3000296954776664</v>
      </c>
      <c r="D25" s="4">
        <f>res_share_state_target*'LEAP Statewide'!D25*1000</f>
        <v>3.3000296954776664</v>
      </c>
      <c r="E25" s="5">
        <f>res_share_state_target*'LEAP Statewide'!E25*1000</f>
        <v>2.200019796985111</v>
      </c>
      <c r="G25" s="1" t="s">
        <v>22</v>
      </c>
      <c r="H25" s="4">
        <f>res_share_state_target*'LEAP Statewide'!H25*1000</f>
        <v>4.4000395939702219</v>
      </c>
      <c r="I25" s="4">
        <f>res_share_state_target*'LEAP Statewide'!I25*1000</f>
        <v>3.3000296954776664</v>
      </c>
      <c r="J25" s="4">
        <f>res_share_state_target*'LEAP Statewide'!J25*1000</f>
        <v>1.1000098984925555</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2.200019796985111</v>
      </c>
      <c r="K26" s="5">
        <f>res_share_state_target*'LEAP Statewide'!K26*1000</f>
        <v>5.500049492462777</v>
      </c>
    </row>
    <row r="27" spans="1:16" x14ac:dyDescent="0.25">
      <c r="A27" s="1" t="s">
        <v>20</v>
      </c>
      <c r="B27" s="4">
        <f>res_share_state_target*'LEAP Statewide'!B27*1000</f>
        <v>1.1000098984925555</v>
      </c>
      <c r="C27" s="4">
        <f>res_share_state_target*'LEAP Statewide'!C27*1000</f>
        <v>1.1000098984925555</v>
      </c>
      <c r="D27" s="4">
        <f>res_share_state_target*'LEAP Statewide'!D27*1000</f>
        <v>1.1000098984925555</v>
      </c>
      <c r="E27" s="5">
        <f>res_share_state_target*'LEAP Statewide'!E27*1000</f>
        <v>1.1000098984925555</v>
      </c>
      <c r="G27" s="1" t="s">
        <v>20</v>
      </c>
      <c r="H27" s="4">
        <f>res_share_state_target*'LEAP Statewide'!H27*1000</f>
        <v>1.1000098984925555</v>
      </c>
      <c r="I27" s="4">
        <f>res_share_state_target*'LEAP Statewide'!I27*1000</f>
        <v>1.1000098984925555</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1.1000098984925555</v>
      </c>
      <c r="K28" s="5">
        <f>res_share_state_target*'LEAP Statewide'!K28*1000</f>
        <v>1.1000098984925555</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36.300326650254334</v>
      </c>
      <c r="C30" s="8">
        <f>SUM(C24:C29)</f>
        <v>29.700267259298993</v>
      </c>
      <c r="D30" s="8">
        <f>SUM(D24:D29)</f>
        <v>26.400237563821328</v>
      </c>
      <c r="E30" s="9">
        <f>SUM(E24:E29)</f>
        <v>22.000197969851108</v>
      </c>
      <c r="G30" s="7" t="s">
        <v>12</v>
      </c>
      <c r="H30" s="8">
        <f>SUM(H24:H29)</f>
        <v>36.300326650254334</v>
      </c>
      <c r="I30" s="8">
        <f>SUM(I24:I29)</f>
        <v>29.700267259298993</v>
      </c>
      <c r="J30" s="8">
        <f>SUM(J24:J29)</f>
        <v>16.500148477388329</v>
      </c>
      <c r="K30" s="9">
        <f>SUM(K24:K29)</f>
        <v>7.700069289447887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0.11330101954473321</v>
      </c>
      <c r="C49" s="20">
        <f>res_share_state_target*'LEAP Statewide'!C49</f>
        <v>0.54230487995682986</v>
      </c>
      <c r="D49" s="20">
        <f>res_share_state_target*'LEAP Statewide'!D49</f>
        <v>0.9405084632111349</v>
      </c>
      <c r="E49" s="20">
        <f>res_share_state_target*'LEAP Statewide'!E49</f>
        <v>1.5510139568745032</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0.14955038759689923</v>
      </c>
      <c r="I4" s="4">
        <f>res_share_region_target*'LEAP Scenario'!I4</f>
        <v>0.53410852713178303</v>
      </c>
      <c r="J4" s="4">
        <f>res_share_region_target*'LEAP Scenario'!J4</f>
        <v>0.87593798449612414</v>
      </c>
      <c r="K4" s="5">
        <f>res_share_region_target*'LEAP Scenario'!K4</f>
        <v>1.3566356589147288</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1.6449623029472241E-2</v>
      </c>
      <c r="U4" s="4">
        <f>com_share_region_target*'LEAP Scenario'!U4</f>
        <v>0.10075394105551748</v>
      </c>
      <c r="V4" s="4">
        <f>com_share_region_target*'LEAP Scenario'!V4</f>
        <v>0.18917066483893077</v>
      </c>
      <c r="W4" s="5">
        <f>com_share_region_target*'LEAP Scenario'!W4</f>
        <v>0.33721727210418095</v>
      </c>
      <c r="Y4" s="23"/>
    </row>
    <row r="5" spans="1:25" x14ac:dyDescent="0.25">
      <c r="A5" s="1" t="s">
        <v>3</v>
      </c>
      <c r="B5" s="4">
        <f>res_share_region_target*'LEAP Scenario'!B5</f>
        <v>20.189302325581398</v>
      </c>
      <c r="C5" s="4">
        <f>res_share_region_target*'LEAP Scenario'!C5</f>
        <v>16.749643410852716</v>
      </c>
      <c r="D5" s="4">
        <f>res_share_region_target*'LEAP Scenario'!D5</f>
        <v>13.897503875968994</v>
      </c>
      <c r="E5" s="5">
        <f>res_share_region_target*'LEAP Scenario'!E5</f>
        <v>10.58603100775194</v>
      </c>
      <c r="G5" s="1" t="s">
        <v>3</v>
      </c>
      <c r="H5" s="4">
        <f>res_share_region_target*'LEAP Scenario'!H5</f>
        <v>19.858155038759691</v>
      </c>
      <c r="I5" s="4">
        <f>res_share_region_target*'LEAP Scenario'!I5</f>
        <v>15.70279069767442</v>
      </c>
      <c r="J5" s="4">
        <f>res_share_region_target*'LEAP Scenario'!J5</f>
        <v>12.049488372093025</v>
      </c>
      <c r="K5" s="5">
        <f>res_share_region_target*'LEAP Scenario'!K5</f>
        <v>8.0116279069767451</v>
      </c>
      <c r="L5" s="21"/>
      <c r="M5" s="1" t="s">
        <v>14</v>
      </c>
      <c r="N5" s="4">
        <f>com_share_region_target*'LEAP Scenario'!N5</f>
        <v>0.84921178889650439</v>
      </c>
      <c r="O5" s="4">
        <f>com_share_region_target*'LEAP Scenario'!O5</f>
        <v>0.69705277587388614</v>
      </c>
      <c r="P5" s="4">
        <f>com_share_region_target*'LEAP Scenario'!P5</f>
        <v>0.52021932830705964</v>
      </c>
      <c r="Q5" s="5">
        <f>com_share_region_target*'LEAP Scenario'!Q5</f>
        <v>0.24263193968471555</v>
      </c>
      <c r="R5" s="2"/>
      <c r="S5" s="1" t="s">
        <v>14</v>
      </c>
      <c r="T5" s="4">
        <f>com_share_region_target*'LEAP Scenario'!T5</f>
        <v>0.83893077450308429</v>
      </c>
      <c r="U5" s="4">
        <f>com_share_region_target*'LEAP Scenario'!U5</f>
        <v>0.62508567511994517</v>
      </c>
      <c r="V5" s="4">
        <f>com_share_region_target*'LEAP Scenario'!V5</f>
        <v>0.38450993831391361</v>
      </c>
      <c r="W5" s="5">
        <f>com_share_region_target*'LEAP Scenario'!W5</f>
        <v>2.0562028786840301E-3</v>
      </c>
      <c r="Y5" s="92"/>
    </row>
    <row r="6" spans="1:25" x14ac:dyDescent="0.25">
      <c r="A6" s="1" t="s">
        <v>4</v>
      </c>
      <c r="B6" s="4">
        <f>res_share_region_target*'LEAP Scenario'!B6</f>
        <v>2.0402945736434108</v>
      </c>
      <c r="C6" s="4">
        <f>res_share_region_target*'LEAP Scenario'!C6</f>
        <v>1.5168682170542638</v>
      </c>
      <c r="D6" s="4">
        <f>res_share_region_target*'LEAP Scenario'!D6</f>
        <v>0.87593798449612414</v>
      </c>
      <c r="E6" s="5">
        <f>res_share_region_target*'LEAP Scenario'!E6</f>
        <v>0.25637209302325581</v>
      </c>
      <c r="G6" s="1" t="s">
        <v>4</v>
      </c>
      <c r="H6" s="4">
        <f>res_share_region_target*'LEAP Scenario'!H6</f>
        <v>2.2112093023255817</v>
      </c>
      <c r="I6" s="4">
        <f>res_share_region_target*'LEAP Scenario'!I6</f>
        <v>1.9975658914728684</v>
      </c>
      <c r="J6" s="4">
        <f>res_share_region_target*'LEAP Scenario'!J6</f>
        <v>1.0895813953488374</v>
      </c>
      <c r="K6" s="5">
        <f>res_share_region_target*'LEAP Scenario'!K6</f>
        <v>0.33114728682170547</v>
      </c>
      <c r="L6" s="21"/>
      <c r="M6" s="1" t="s">
        <v>15</v>
      </c>
      <c r="N6" s="89">
        <f>com_share_region_target*'LEAP Scenario'!N6</f>
        <v>1.5503769705277586</v>
      </c>
      <c r="O6" s="89">
        <f>com_share_region_target*'LEAP Scenario'!O6</f>
        <v>1.6490747087045921</v>
      </c>
      <c r="P6" s="89">
        <f>com_share_region_target*'LEAP Scenario'!P6</f>
        <v>1.7210418094585331</v>
      </c>
      <c r="Q6" s="90">
        <f>com_share_region_target*'LEAP Scenario'!Q6</f>
        <v>1.8732008224811514</v>
      </c>
      <c r="R6" s="4"/>
      <c r="S6" s="1" t="s">
        <v>15</v>
      </c>
      <c r="T6" s="89">
        <f>com_share_region_target*'LEAP Scenario'!T6</f>
        <v>1.5298149417409184</v>
      </c>
      <c r="U6" s="89">
        <f>com_share_region_target*'LEAP Scenario'!U6</f>
        <v>1.5154215215901301</v>
      </c>
      <c r="V6" s="89">
        <f>com_share_region_target*'LEAP Scenario'!V6</f>
        <v>1.4681288553803975</v>
      </c>
      <c r="W6" s="90">
        <f>com_share_region_target*'LEAP Scenario'!W6</f>
        <v>1.4228923920493488</v>
      </c>
      <c r="Y6" s="92"/>
    </row>
    <row r="7" spans="1:25" x14ac:dyDescent="0.25">
      <c r="A7" s="1" t="s">
        <v>5</v>
      </c>
      <c r="B7" s="4">
        <f>res_share_region_target*'LEAP Scenario'!B7</f>
        <v>0.27773643410852716</v>
      </c>
      <c r="C7" s="4">
        <f>res_share_region_target*'LEAP Scenario'!C7</f>
        <v>1.3139069767441862</v>
      </c>
      <c r="D7" s="4">
        <f>res_share_region_target*'LEAP Scenario'!D7</f>
        <v>2.0402945736434108</v>
      </c>
      <c r="E7" s="5">
        <f>res_share_region_target*'LEAP Scenario'!E7</f>
        <v>2.5637209302325585</v>
      </c>
      <c r="G7" s="1" t="s">
        <v>5</v>
      </c>
      <c r="H7" s="4">
        <f>res_share_region_target*'LEAP Scenario'!H7</f>
        <v>0.24568992248062019</v>
      </c>
      <c r="I7" s="4">
        <f>res_share_region_target*'LEAP Scenario'!I7</f>
        <v>1.1750387596899226</v>
      </c>
      <c r="J7" s="4">
        <f>res_share_region_target*'LEAP Scenario'!J7</f>
        <v>2.4034883720930234</v>
      </c>
      <c r="K7" s="5">
        <f>res_share_region_target*'LEAP Scenario'!K7</f>
        <v>2.884186046511628</v>
      </c>
      <c r="M7" s="1" t="s">
        <v>8</v>
      </c>
      <c r="N7" s="4">
        <f>com_share_region_target*'LEAP Scenario'!N7</f>
        <v>0.63947909527073332</v>
      </c>
      <c r="O7" s="4">
        <f>com_share_region_target*'LEAP Scenario'!O7</f>
        <v>0.69088416723783408</v>
      </c>
      <c r="P7" s="4">
        <f>com_share_region_target*'LEAP Scenario'!P7</f>
        <v>0.72995202193283071</v>
      </c>
      <c r="Q7" s="5">
        <f>com_share_region_target*'LEAP Scenario'!Q7</f>
        <v>0.81014393420150788</v>
      </c>
      <c r="R7" s="4"/>
      <c r="S7" s="1" t="s">
        <v>8</v>
      </c>
      <c r="T7" s="4">
        <f>com_share_region_target*'LEAP Scenario'!T7</f>
        <v>0.61480466072652495</v>
      </c>
      <c r="U7" s="4">
        <f>com_share_region_target*'LEAP Scenario'!U7</f>
        <v>0.53050034270047974</v>
      </c>
      <c r="V7" s="4">
        <f>com_share_region_target*'LEAP Scenario'!V7</f>
        <v>0.42974640164496231</v>
      </c>
      <c r="W7" s="5">
        <f>com_share_region_target*'LEAP Scenario'!W7</f>
        <v>0.27347498286497601</v>
      </c>
      <c r="Y7" s="92"/>
    </row>
    <row r="8" spans="1:25" x14ac:dyDescent="0.25">
      <c r="A8" s="1" t="s">
        <v>6</v>
      </c>
      <c r="B8" s="4">
        <f>res_share_region_target*'LEAP Scenario'!B8</f>
        <v>3.2046511627906976E-2</v>
      </c>
      <c r="C8" s="4">
        <f>res_share_region_target*'LEAP Scenario'!C8</f>
        <v>0.13886821705426358</v>
      </c>
      <c r="D8" s="4">
        <f>res_share_region_target*'LEAP Scenario'!D8</f>
        <v>0.50206201550387597</v>
      </c>
      <c r="E8" s="5">
        <f>res_share_region_target*'LEAP Scenario'!E8</f>
        <v>1.2070852713178295</v>
      </c>
      <c r="G8" s="1" t="s">
        <v>6</v>
      </c>
      <c r="H8" s="4">
        <f>res_share_region_target*'LEAP Scenario'!H8</f>
        <v>0.17091472868217056</v>
      </c>
      <c r="I8" s="4">
        <f>res_share_region_target*'LEAP Scenario'!I8</f>
        <v>0.49137984496124038</v>
      </c>
      <c r="J8" s="4">
        <f>res_share_region_target*'LEAP Scenario'!J8</f>
        <v>0.96139534883720934</v>
      </c>
      <c r="K8" s="5">
        <f>res_share_region_target*'LEAP Scenario'!K8</f>
        <v>1.3459534883720932</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1.3780000000000001</v>
      </c>
      <c r="C9" s="4">
        <f>res_share_region_target*'LEAP Scenario'!C9</f>
        <v>1.7518759689922483</v>
      </c>
      <c r="D9" s="4">
        <f>res_share_region_target*'LEAP Scenario'!D9</f>
        <v>2.1471162790697678</v>
      </c>
      <c r="E9" s="5">
        <f>res_share_region_target*'LEAP Scenario'!E9</f>
        <v>0.54479069767441868</v>
      </c>
      <c r="G9" s="1" t="s">
        <v>7</v>
      </c>
      <c r="H9" s="4">
        <f>res_share_region_target*'LEAP Scenario'!H9</f>
        <v>1.2818604651162793</v>
      </c>
      <c r="I9" s="4">
        <f>res_share_region_target*'LEAP Scenario'!I9</f>
        <v>1.4848217054263568</v>
      </c>
      <c r="J9" s="4">
        <f>res_share_region_target*'LEAP Scenario'!J9</f>
        <v>1.7198294573643413</v>
      </c>
      <c r="K9" s="5">
        <f>res_share_region_target*'LEAP Scenario'!K9</f>
        <v>0</v>
      </c>
      <c r="L9" s="21"/>
      <c r="M9" s="1" t="s">
        <v>16</v>
      </c>
      <c r="N9" s="4">
        <f>com_share_region_target*'LEAP Scenario'!N9</f>
        <v>8.636052090472926E-2</v>
      </c>
      <c r="O9" s="4">
        <f>com_share_region_target*'LEAP Scenario'!O9</f>
        <v>6.3742289239204927E-2</v>
      </c>
      <c r="P9" s="4">
        <f>com_share_region_target*'LEAP Scenario'!P9</f>
        <v>3.9067854694996573E-2</v>
      </c>
      <c r="Q9" s="5">
        <f>com_share_region_target*'LEAP Scenario'!Q9</f>
        <v>0</v>
      </c>
      <c r="R9" s="2"/>
      <c r="S9" s="1" t="s">
        <v>16</v>
      </c>
      <c r="T9" s="4">
        <f>com_share_region_target*'LEAP Scenario'!T9</f>
        <v>8.636052090472926E-2</v>
      </c>
      <c r="U9" s="4">
        <f>com_share_region_target*'LEAP Scenario'!U9</f>
        <v>6.3742289239204927E-2</v>
      </c>
      <c r="V9" s="4">
        <f>com_share_region_target*'LEAP Scenario'!V9</f>
        <v>3.9067854694996573E-2</v>
      </c>
      <c r="W9" s="5">
        <f>com_share_region_target*'LEAP Scenario'!W9</f>
        <v>0</v>
      </c>
      <c r="Y9" s="23"/>
    </row>
    <row r="10" spans="1:25" x14ac:dyDescent="0.25">
      <c r="A10" s="1" t="s">
        <v>8</v>
      </c>
      <c r="B10" s="4">
        <f>res_share_region_target*'LEAP Scenario'!B10</f>
        <v>7.7232093023255821</v>
      </c>
      <c r="C10" s="4">
        <f>res_share_region_target*'LEAP Scenario'!C10</f>
        <v>6.3024806201550394</v>
      </c>
      <c r="D10" s="4">
        <f>res_share_region_target*'LEAP Scenario'!D10</f>
        <v>5.0419844961240319</v>
      </c>
      <c r="E10" s="5">
        <f>res_share_region_target*'LEAP Scenario'!E10</f>
        <v>3.3755658914728683</v>
      </c>
      <c r="G10" s="1" t="s">
        <v>8</v>
      </c>
      <c r="H10" s="4">
        <f>res_share_region_target*'LEAP Scenario'!H10</f>
        <v>7.5522945736434117</v>
      </c>
      <c r="I10" s="4">
        <f>res_share_region_target*'LEAP Scenario'!I10</f>
        <v>5.9072403100775199</v>
      </c>
      <c r="J10" s="4">
        <f>res_share_region_target*'LEAP Scenario'!J10</f>
        <v>3.7814883720930235</v>
      </c>
      <c r="K10" s="5">
        <f>res_share_region_target*'LEAP Scenario'!K10</f>
        <v>1.3245891472868219</v>
      </c>
      <c r="L10" s="21"/>
      <c r="M10" s="1" t="s">
        <v>17</v>
      </c>
      <c r="N10" s="4">
        <f>com_share_region_target*'LEAP Scenario'!N10</f>
        <v>0.27758738862234406</v>
      </c>
      <c r="O10" s="4">
        <f>com_share_region_target*'LEAP Scenario'!O10</f>
        <v>0.31048663468128856</v>
      </c>
      <c r="P10" s="4">
        <f>com_share_region_target*'LEAP Scenario'!P10</f>
        <v>0.341329677861549</v>
      </c>
      <c r="Q10" s="5">
        <f>com_share_region_target*'LEAP Scenario'!Q10</f>
        <v>0.39479095270733378</v>
      </c>
      <c r="R10" s="4"/>
      <c r="S10" s="1" t="s">
        <v>17</v>
      </c>
      <c r="T10" s="4">
        <f>com_share_region_target*'LEAP Scenario'!T10</f>
        <v>0.28992460589444824</v>
      </c>
      <c r="U10" s="4">
        <f>com_share_region_target*'LEAP Scenario'!U10</f>
        <v>0.3968471555860178</v>
      </c>
      <c r="V10" s="4">
        <f>com_share_region_target*'LEAP Scenario'!V10</f>
        <v>0.50171350239890333</v>
      </c>
      <c r="W10" s="5">
        <f>com_share_region_target*'LEAP Scenario'!W10</f>
        <v>0.68265935572309799</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3.4030157642220695</v>
      </c>
      <c r="O11" s="8">
        <f>SUM(O4:O10)</f>
        <v>3.4112405757368061</v>
      </c>
      <c r="P11" s="8">
        <f>SUM(P4:P10)</f>
        <v>3.3516106922549693</v>
      </c>
      <c r="Q11" s="9">
        <f>SUM(Q4:Q10)</f>
        <v>3.3207676490747087</v>
      </c>
      <c r="R11" s="4"/>
      <c r="S11" s="7" t="s">
        <v>12</v>
      </c>
      <c r="T11" s="8">
        <f>SUM(T4:T10)</f>
        <v>3.3762851267991776</v>
      </c>
      <c r="U11" s="8">
        <f>SUM(U4:U10)</f>
        <v>3.2323509252912954</v>
      </c>
      <c r="V11" s="8">
        <f>SUM(V4:V10)</f>
        <v>3.0123372172721044</v>
      </c>
      <c r="W11" s="9">
        <f>SUM(W4:W10)</f>
        <v>2.7183002056202881</v>
      </c>
    </row>
    <row r="12" spans="1:25" x14ac:dyDescent="0.25">
      <c r="A12" s="1" t="s">
        <v>10</v>
      </c>
      <c r="B12" s="4">
        <f>res_share_region_target*'LEAP Scenario'!B12</f>
        <v>18.811302325581398</v>
      </c>
      <c r="C12" s="4">
        <f>res_share_region_target*'LEAP Scenario'!C12</f>
        <v>14.335472868217055</v>
      </c>
      <c r="D12" s="4">
        <f>res_share_region_target*'LEAP Scenario'!D12</f>
        <v>10.041240310077521</v>
      </c>
      <c r="E12" s="5">
        <f>res_share_region_target*'LEAP Scenario'!E12</f>
        <v>4.3903720930232559</v>
      </c>
      <c r="G12" s="1" t="s">
        <v>10</v>
      </c>
      <c r="H12" s="4">
        <f>res_share_region_target*'LEAP Scenario'!H12</f>
        <v>18.095596899224809</v>
      </c>
      <c r="I12" s="4">
        <f>res_share_region_target*'LEAP Scenario'!I12</f>
        <v>12.156310077519381</v>
      </c>
      <c r="J12" s="4">
        <f>res_share_region_target*'LEAP Scenario'!J12</f>
        <v>6.419984496124032</v>
      </c>
      <c r="K12" s="5">
        <f>res_share_region_target*'LEAP Scenario'!K12</f>
        <v>0</v>
      </c>
      <c r="L12" s="21"/>
    </row>
    <row r="13" spans="1:25" x14ac:dyDescent="0.25">
      <c r="A13" s="1" t="s">
        <v>11</v>
      </c>
      <c r="B13" s="4">
        <f>res_share_region_target*'LEAP Scenario'!B13</f>
        <v>3.8883100775193804</v>
      </c>
      <c r="C13" s="4">
        <f>res_share_region_target*'LEAP Scenario'!C13</f>
        <v>3.4503410852713183</v>
      </c>
      <c r="D13" s="4">
        <f>res_share_region_target*'LEAP Scenario'!D13</f>
        <v>3.0978294573643415</v>
      </c>
      <c r="E13" s="5">
        <f>res_share_region_target*'LEAP Scenario'!E13</f>
        <v>2.7666821705426359</v>
      </c>
      <c r="G13" s="1" t="s">
        <v>11</v>
      </c>
      <c r="H13" s="4">
        <f>res_share_region_target*'LEAP Scenario'!H13</f>
        <v>3.3755658914728683</v>
      </c>
      <c r="I13" s="4">
        <f>res_share_region_target*'LEAP Scenario'!I13</f>
        <v>3.7708062015503878</v>
      </c>
      <c r="J13" s="4">
        <f>res_share_region_target*'LEAP Scenario'!J13</f>
        <v>3.386248062015504</v>
      </c>
      <c r="K13" s="5">
        <f>res_share_region_target*'LEAP Scenario'!K13</f>
        <v>3.1619224806201554</v>
      </c>
      <c r="L13" s="21"/>
      <c r="N13" s="21"/>
      <c r="O13" s="21"/>
      <c r="P13" s="21"/>
      <c r="Q13" s="21"/>
      <c r="T13" s="21"/>
      <c r="U13" s="21"/>
      <c r="V13" s="21"/>
      <c r="W13" s="21"/>
    </row>
    <row r="14" spans="1:25" x14ac:dyDescent="0.25">
      <c r="A14" s="7" t="s">
        <v>12</v>
      </c>
      <c r="B14" s="8">
        <f>SUM(B4:B13)</f>
        <v>54.340201550387604</v>
      </c>
      <c r="C14" s="8">
        <f>SUM(C4:C13)</f>
        <v>45.559457364341085</v>
      </c>
      <c r="D14" s="8">
        <f>SUM(D4:D13)</f>
        <v>37.643968992248062</v>
      </c>
      <c r="E14" s="9">
        <f>SUM(E4:E13)</f>
        <v>25.690620155038761</v>
      </c>
      <c r="G14" s="7" t="s">
        <v>12</v>
      </c>
      <c r="H14" s="8">
        <f>SUM(H4:H13)</f>
        <v>52.940837209302323</v>
      </c>
      <c r="I14" s="8">
        <f>SUM(I4:I13)</f>
        <v>43.220062015503871</v>
      </c>
      <c r="J14" s="8">
        <f>SUM(J4:J13)</f>
        <v>32.687441860465114</v>
      </c>
      <c r="K14" s="9">
        <f>SUM(K4:K13)</f>
        <v>18.416062015503879</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31.106480620155043</v>
      </c>
      <c r="C24" s="4">
        <f>res_share_region_target*'LEAP Scenario'!C24</f>
        <v>25.316744186046513</v>
      </c>
      <c r="D24" s="4">
        <f>res_share_region_target*'LEAP Scenario'!D24</f>
        <v>21.577984496124031</v>
      </c>
      <c r="E24" s="5">
        <f>res_share_region_target*'LEAP Scenario'!E24</f>
        <v>18.116961240310079</v>
      </c>
      <c r="G24" s="1" t="s">
        <v>21</v>
      </c>
      <c r="H24" s="4">
        <f>res_share_region_target*'LEAP Scenario'!H24</f>
        <v>31.223984496124032</v>
      </c>
      <c r="I24" s="4">
        <f>res_share_region_target*'LEAP Scenario'!I24</f>
        <v>22.368465116279072</v>
      </c>
      <c r="J24" s="4">
        <f>res_share_region_target*'LEAP Scenario'!J24</f>
        <v>12.455410852713179</v>
      </c>
      <c r="K24" s="5">
        <f>res_share_region_target*'LEAP Scenario'!K24</f>
        <v>0.9720775193798451</v>
      </c>
    </row>
    <row r="25" spans="1:16" x14ac:dyDescent="0.25">
      <c r="A25" s="1" t="s">
        <v>22</v>
      </c>
      <c r="B25" s="4">
        <f>res_share_region_target*'LEAP Scenario'!B25</f>
        <v>4.2194573643410855</v>
      </c>
      <c r="C25" s="4">
        <f>res_share_region_target*'LEAP Scenario'!C25</f>
        <v>3.4076124031007753</v>
      </c>
      <c r="D25" s="4">
        <f>res_share_region_target*'LEAP Scenario'!D25</f>
        <v>2.884186046511628</v>
      </c>
      <c r="E25" s="5">
        <f>res_share_region_target*'LEAP Scenario'!E25</f>
        <v>2.3928062015503877</v>
      </c>
      <c r="G25" s="1" t="s">
        <v>22</v>
      </c>
      <c r="H25" s="4">
        <f>res_share_region_target*'LEAP Scenario'!H25</f>
        <v>4.1660465116279077</v>
      </c>
      <c r="I25" s="4">
        <f>res_share_region_target*'LEAP Scenario'!I25</f>
        <v>2.7773643410852715</v>
      </c>
      <c r="J25" s="4">
        <f>res_share_region_target*'LEAP Scenario'!J25</f>
        <v>1.5061860465116281</v>
      </c>
      <c r="K25" s="5">
        <f>res_share_region_target*'LEAP Scenario'!K25</f>
        <v>0.17091472868217056</v>
      </c>
    </row>
    <row r="26" spans="1:16" x14ac:dyDescent="0.25">
      <c r="A26" s="1" t="s">
        <v>23</v>
      </c>
      <c r="B26" s="4">
        <f>res_share_region_target*'LEAP Scenario'!B26</f>
        <v>3.2046511627906976E-2</v>
      </c>
      <c r="C26" s="4">
        <f>res_share_region_target*'LEAP Scenario'!C26</f>
        <v>9.6139534883720942E-2</v>
      </c>
      <c r="D26" s="4">
        <f>res_share_region_target*'LEAP Scenario'!D26</f>
        <v>0.14955038759689923</v>
      </c>
      <c r="E26" s="5">
        <f>res_share_region_target*'LEAP Scenario'!E26</f>
        <v>0.22432558139534886</v>
      </c>
      <c r="G26" s="1" t="s">
        <v>23</v>
      </c>
      <c r="H26" s="4">
        <f>res_share_region_target*'LEAP Scenario'!H26</f>
        <v>3.2046511627906976E-2</v>
      </c>
      <c r="I26" s="4">
        <f>res_share_region_target*'LEAP Scenario'!I26</f>
        <v>0.87593798449612414</v>
      </c>
      <c r="J26" s="4">
        <f>res_share_region_target*'LEAP Scenario'!J26</f>
        <v>2.5423565891472872</v>
      </c>
      <c r="K26" s="5">
        <f>res_share_region_target*'LEAP Scenario'!K26</f>
        <v>4.9244806201550393</v>
      </c>
    </row>
    <row r="27" spans="1:16" x14ac:dyDescent="0.25">
      <c r="A27" s="1" t="s">
        <v>20</v>
      </c>
      <c r="B27" s="4">
        <f>res_share_region_target*'LEAP Scenario'!B27</f>
        <v>1.13231007751938</v>
      </c>
      <c r="C27" s="4">
        <f>res_share_region_target*'LEAP Scenario'!C27</f>
        <v>1.0682170542635661</v>
      </c>
      <c r="D27" s="4">
        <f>res_share_region_target*'LEAP Scenario'!D27</f>
        <v>1.0468527131782948</v>
      </c>
      <c r="E27" s="5">
        <f>res_share_region_target*'LEAP Scenario'!E27</f>
        <v>1.0361705426356591</v>
      </c>
      <c r="G27" s="1" t="s">
        <v>20</v>
      </c>
      <c r="H27" s="4">
        <f>res_share_region_target*'LEAP Scenario'!H27</f>
        <v>1.0468527131782948</v>
      </c>
      <c r="I27" s="4">
        <f>res_share_region_target*'LEAP Scenario'!I27</f>
        <v>0.65161240310077528</v>
      </c>
      <c r="J27" s="4">
        <f>res_share_region_target*'LEAP Scenario'!J27</f>
        <v>0.35251162790697677</v>
      </c>
      <c r="K27" s="5">
        <f>res_share_region_target*'LEAP Scenario'!K27</f>
        <v>1.068217054263566E-2</v>
      </c>
    </row>
    <row r="28" spans="1:16" x14ac:dyDescent="0.25">
      <c r="A28" s="1" t="s">
        <v>18</v>
      </c>
      <c r="B28" s="4">
        <f>res_share_region_target*'LEAP Scenario'!B28</f>
        <v>1.068217054263566E-2</v>
      </c>
      <c r="C28" s="4">
        <f>res_share_region_target*'LEAP Scenario'!C28</f>
        <v>1.068217054263566E-2</v>
      </c>
      <c r="D28" s="4">
        <f>res_share_region_target*'LEAP Scenario'!D28</f>
        <v>1.068217054263566E-2</v>
      </c>
      <c r="E28" s="5">
        <f>res_share_region_target*'LEAP Scenario'!E28</f>
        <v>0</v>
      </c>
      <c r="G28" s="1" t="s">
        <v>18</v>
      </c>
      <c r="H28" s="4">
        <f>res_share_region_target*'LEAP Scenario'!H28</f>
        <v>8.5457364341085279E-2</v>
      </c>
      <c r="I28" s="4">
        <f>res_share_region_target*'LEAP Scenario'!I28</f>
        <v>0.40592248062015507</v>
      </c>
      <c r="J28" s="4">
        <f>res_share_region_target*'LEAP Scenario'!J28</f>
        <v>0.65161240310077528</v>
      </c>
      <c r="K28" s="5">
        <f>res_share_region_target*'LEAP Scenario'!K28</f>
        <v>0.92934883720930239</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36.500976744186048</v>
      </c>
      <c r="C30" s="8">
        <f>SUM(C24:C29)</f>
        <v>29.899395348837214</v>
      </c>
      <c r="D30" s="8">
        <f>SUM(D24:D29)</f>
        <v>25.669255813953495</v>
      </c>
      <c r="E30" s="9">
        <f>SUM(E24:E29)</f>
        <v>21.770263565891476</v>
      </c>
      <c r="G30" s="7" t="s">
        <v>12</v>
      </c>
      <c r="H30" s="8">
        <f>SUM(H24:H29)</f>
        <v>36.554387596899232</v>
      </c>
      <c r="I30" s="8">
        <f>SUM(I24:I29)</f>
        <v>27.079302325581398</v>
      </c>
      <c r="J30" s="8">
        <f>SUM(J24:J29)</f>
        <v>17.508077519379846</v>
      </c>
      <c r="K30" s="9">
        <f>SUM(K24:K29)</f>
        <v>7.0075038759689932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0.1281860465116279</v>
      </c>
      <c r="C49" s="20">
        <f>res_share_region_target*'LEAP Scenario'!C49</f>
        <v>0.59820155038759693</v>
      </c>
      <c r="D49" s="20">
        <f>res_share_region_target*'LEAP Scenario'!D49</f>
        <v>0.94003100775193804</v>
      </c>
      <c r="E49" s="20">
        <f>res_share_region_target*'LEAP Scenario'!E49</f>
        <v>1.3780000000000001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54340.201550387603</v>
      </c>
      <c r="J21" s="63">
        <f>'2.Heat Targets'!C24</f>
        <v>45559.457364341084</v>
      </c>
      <c r="K21" s="63">
        <f>'2.Heat Targets'!D24</f>
        <v>37643.968992248061</v>
      </c>
      <c r="L21" s="64">
        <f>'2.Heat Targets'!E24</f>
        <v>25690.620155038763</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433.6961240310078</v>
      </c>
      <c r="J22" s="63">
        <f>'2.Heat Targets'!C25</f>
        <v>2324.4403100775198</v>
      </c>
      <c r="K22" s="63">
        <f>'2.Heat Targets'!D25</f>
        <v>4576.2418604651157</v>
      </c>
      <c r="L22" s="64">
        <f>'2.Heat Targets'!E25</f>
        <v>4902.0480620155049</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52940.837209302321</v>
      </c>
      <c r="J23" s="63">
        <f>'2.Heat Targets'!C26</f>
        <v>43220.06201550387</v>
      </c>
      <c r="K23" s="63">
        <f>'2.Heat Targets'!D26</f>
        <v>32687.441860465115</v>
      </c>
      <c r="L23" s="64">
        <f>'2.Heat Targets'!E26</f>
        <v>18416.062015503878</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583.24651162790713</v>
      </c>
      <c r="J24" s="63">
        <f>'2.Heat Targets'!C27</f>
        <v>2666.2697674418609</v>
      </c>
      <c r="K24" s="63">
        <f>'2.Heat Targets'!D27</f>
        <v>6056.790697674418</v>
      </c>
      <c r="L24" s="64">
        <f>'2.Heat Targets'!E27</f>
        <v>8460.2790697674409</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1249.8139534883794</v>
      </c>
      <c r="J25" s="63">
        <f>'2.Heat Targets'!C28</f>
        <v>1997.565891472876</v>
      </c>
      <c r="K25" s="63">
        <f>'2.Heat Targets'!D28</f>
        <v>3475.9782945736461</v>
      </c>
      <c r="L25" s="64">
        <f>'2.Heat Targets'!E28</f>
        <v>3716.3271317829513</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7">
        <f>'2.Heat Targets'!B29</f>
        <v>34.325000000000003</v>
      </c>
      <c r="J26" s="307">
        <f>'2.Heat Targets'!C29</f>
        <v>0</v>
      </c>
      <c r="K26" s="307">
        <f>'2.Heat Targets'!D29</f>
        <v>0</v>
      </c>
      <c r="L26" s="307">
        <f>'2.Heat Targets'!E29</f>
        <v>0</v>
      </c>
      <c r="O26" s="307">
        <f>'2.Heat Targets'!B29</f>
        <v>34.325000000000003</v>
      </c>
      <c r="P26" s="307"/>
      <c r="Q26" s="307"/>
      <c r="R26" s="30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36.411185826318409</v>
      </c>
      <c r="J27" s="63">
        <f>'2.Heat Targets'!C30</f>
        <v>58.195655978816482</v>
      </c>
      <c r="K27" s="63">
        <f>'2.Heat Targets'!D30</f>
        <v>101.26666553746965</v>
      </c>
      <c r="L27" s="64">
        <f>'2.Heat Targets'!E30</f>
        <v>108.26881665791554</v>
      </c>
      <c r="O27" s="62">
        <f>O25/$O$26</f>
        <v>296.45665897138014</v>
      </c>
      <c r="P27" s="63">
        <f>P25/$O$26</f>
        <v>1283.9410299149029</v>
      </c>
      <c r="Q27" s="63">
        <f>Q25/$O$26</f>
        <v>1935.8546007607574</v>
      </c>
      <c r="R27" s="64">
        <f>R25/$O$26</f>
        <v>4123.2645326588408</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282</v>
      </c>
      <c r="J28" s="203">
        <f>'2.Heat Targets'!C31</f>
        <v>298.92</v>
      </c>
      <c r="K28" s="203">
        <f>'2.Heat Targets'!D31</f>
        <v>316.85520000000002</v>
      </c>
      <c r="L28" s="203">
        <f>'2.Heat Targets'!E31</f>
        <v>335.86651200000006</v>
      </c>
      <c r="O28" s="203">
        <f>'2.Heat Targets'!B31</f>
        <v>282</v>
      </c>
      <c r="P28" s="203">
        <f>'2.Heat Targets'!C31</f>
        <v>298.92</v>
      </c>
      <c r="Q28" s="203">
        <f>'2.Heat Targets'!D31</f>
        <v>316.85520000000002</v>
      </c>
      <c r="R28" s="203">
        <f>'2.Heat Targets'!E31</f>
        <v>335.86651200000006</v>
      </c>
      <c r="T28" t="str">
        <f>'2.Heat Targets'!G31</f>
        <v>Enter a projection of the number of future residences in the area by each year.</v>
      </c>
    </row>
    <row r="29" spans="8:20" x14ac:dyDescent="0.25">
      <c r="I29" s="86">
        <f>'2.Heat Targets'!B32</f>
        <v>0.12911768023517167</v>
      </c>
      <c r="J29" s="87">
        <f>'2.Heat Targets'!C32</f>
        <v>0.1946863909367606</v>
      </c>
      <c r="K29" s="87">
        <f>'2.Heat Targets'!D32</f>
        <v>0.3195991908526975</v>
      </c>
      <c r="L29" s="88">
        <f>'2.Heat Targets'!E32</f>
        <v>0.32235668871303108</v>
      </c>
      <c r="O29" s="104">
        <f>O27/O28</f>
        <v>1.0512647481254616</v>
      </c>
      <c r="P29" s="105">
        <f>P27/P28</f>
        <v>4.2952663920610963</v>
      </c>
      <c r="Q29" s="105">
        <f>Q27/Q28</f>
        <v>6.109587599511566</v>
      </c>
      <c r="R29" s="106">
        <f>R27/R28</f>
        <v>12.276497910154378</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137.30000000000001</v>
      </c>
      <c r="J34" s="94">
        <f>'2.Heat Targets'!C54</f>
        <v>130.6173896310957</v>
      </c>
      <c r="K34" s="94">
        <f>'2.Heat Targets'!D54</f>
        <v>126.32975777398116</v>
      </c>
      <c r="L34" s="95">
        <f>'2.Heat Targets'!E54</f>
        <v>126.23510665992521</v>
      </c>
      <c r="O34" s="107">
        <f>'1.Current Heat'!B10</f>
        <v>137.30000000000001</v>
      </c>
      <c r="P34" s="108">
        <f>P29*($O$34-$O$26)+(1-P29)*$O$34</f>
        <v>-10.135018907497113</v>
      </c>
      <c r="Q34" s="108">
        <f>Q29*($O$34-$O$26)+(1-Q29)*$O$34</f>
        <v>-72.411594353234591</v>
      </c>
      <c r="R34" s="110">
        <f>R29*($O$34-$O$26)+(1-R29)*$O$34</f>
        <v>-284.09079076604894</v>
      </c>
      <c r="T34" t="str">
        <f>'2.Heat Targets'!G54</f>
        <v>This is a projection of the average area residential heating load, in millions of Btu, computed based on values inputted above and in the "1.Current Heat" tab</v>
      </c>
    </row>
    <row r="35" spans="9:20" x14ac:dyDescent="0.25">
      <c r="I35" s="81">
        <f>'2.Heat Targets'!B55</f>
        <v>19527.007751937988</v>
      </c>
      <c r="J35" s="82">
        <f>'2.Heat Targets'!C55</f>
        <v>14175.240310077519</v>
      </c>
      <c r="K35" s="82">
        <f>'2.Heat Targets'!D55</f>
        <v>9015.7519379844962</v>
      </c>
      <c r="L35" s="83">
        <f>'2.Heat Targets'!E55</f>
        <v>1356.6356589147288</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3.7678975131876423E-2</v>
      </c>
      <c r="K36" s="97">
        <f>'2.Heat Targets'!D56</f>
        <v>9.7156398104265421E-2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142.22146942416597</v>
      </c>
      <c r="J37" s="63">
        <f>'2.Heat Targets'!C57</f>
        <v>108.52490889699162</v>
      </c>
      <c r="K37" s="63">
        <f>'2.Heat Targets'!D57</f>
        <v>71.366810930760593</v>
      </c>
      <c r="L37" s="64">
        <f>'2.Heat Targets'!E57</f>
        <v>10.746896761211422</v>
      </c>
      <c r="O37" s="62">
        <f>O35/O34</f>
        <v>2031.633734975198</v>
      </c>
      <c r="P37" s="62">
        <f>P35/P34</f>
        <v>-20998.943986843246</v>
      </c>
      <c r="Q37" s="62">
        <f>Q35/Q34</f>
        <v>-2065.149910461897</v>
      </c>
      <c r="R37" s="112">
        <f>R35/R34</f>
        <v>-173.38237378631132</v>
      </c>
      <c r="T37" t="str">
        <f>'2.Heat Targets'!G57</f>
        <v>This formula computes an estimate the number of residences using biofuel-blended heat energy in the 90x50 scenario based on values inputted in the "1.Current Heat" tab.</v>
      </c>
    </row>
    <row r="38" spans="9:20" x14ac:dyDescent="0.25">
      <c r="I38" s="65">
        <f>'2.Heat Targets'!B58</f>
        <v>0.50433145185874462</v>
      </c>
      <c r="J38" s="66">
        <f>'2.Heat Targets'!C58</f>
        <v>0.36305670044490707</v>
      </c>
      <c r="K38" s="66">
        <f>'2.Heat Targets'!D58</f>
        <v>0.22523477894874563</v>
      </c>
      <c r="L38" s="67">
        <f>'2.Heat Targets'!E58</f>
        <v>3.199752394847695E-2</v>
      </c>
      <c r="O38" s="109">
        <f>O37/O28</f>
        <v>7.2043749467205602</v>
      </c>
      <c r="P38" s="109">
        <f>P37/P28</f>
        <v>-70.249377715921469</v>
      </c>
      <c r="Q38" s="109">
        <f>Q37/Q28</f>
        <v>-6.5176456326482786</v>
      </c>
      <c r="R38" s="113">
        <f>R37/R28</f>
        <v>-0.51622405804574911</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23233.720930232557</v>
      </c>
      <c r="J39" s="82">
        <f>'2.Heat Targets'!C59</f>
        <v>19473.596899224809</v>
      </c>
      <c r="K39" s="82">
        <f>'2.Heat Targets'!D59</f>
        <v>15435.736434108529</v>
      </c>
      <c r="L39" s="83">
        <f>'2.Heat Targets'!E59</f>
        <v>11173.550387596901</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169.21865207744031</v>
      </c>
      <c r="J40" s="63">
        <f>'2.Heat Targets'!C60</f>
        <v>149.08885374469915</v>
      </c>
      <c r="K40" s="63">
        <f>'2.Heat Targets'!D60</f>
        <v>122.1860684774278</v>
      </c>
      <c r="L40" s="64">
        <f>'2.Heat Targets'!E60</f>
        <v>88.513811119898818</v>
      </c>
      <c r="O40" s="62">
        <f>O39/O34</f>
        <v>1364.1759563553012</v>
      </c>
      <c r="P40" s="62">
        <f>P39/P34</f>
        <v>-19086.619912989965</v>
      </c>
      <c r="Q40" s="62">
        <f>Q39/Q34</f>
        <v>-2695.1347702741259</v>
      </c>
      <c r="R40" s="112">
        <f>R39/R34</f>
        <v>-702.45248738903069</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0.60006614211858267</v>
      </c>
      <c r="J41" s="66">
        <f>'2.Heat Targets'!C61</f>
        <v>0.49875837596915273</v>
      </c>
      <c r="K41" s="66">
        <f>'2.Heat Targets'!D61</f>
        <v>0.38562115590158463</v>
      </c>
      <c r="L41" s="67">
        <f>'2.Heat Targets'!E61</f>
        <v>0.2635386618118653</v>
      </c>
      <c r="O41" s="109">
        <f>O40/O28</f>
        <v>4.8375033913308556</v>
      </c>
      <c r="P41" s="109">
        <f>P40/P28</f>
        <v>-63.851933336645139</v>
      </c>
      <c r="Q41" s="109">
        <f>Q40/Q28</f>
        <v>-8.5058877691580435</v>
      </c>
      <c r="R41" s="113">
        <f>R40/R28</f>
        <v>-2.091463311439131</v>
      </c>
      <c r="T41" t="str">
        <f>'2.Heat Targets'!G61</f>
        <v>This formula computes the estimated share of area residences using Wood heat  in the 90x50 scenario, based on values inputted in the "1.Current Heat" tab.</v>
      </c>
    </row>
    <row r="42" spans="9:20" x14ac:dyDescent="0.25">
      <c r="I42" s="81">
        <f>'2.Heat Targets'!B62</f>
        <v>416.60465116279079</v>
      </c>
      <c r="J42" s="82">
        <f>'2.Heat Targets'!C62</f>
        <v>1666.4186046511629</v>
      </c>
      <c r="K42" s="82">
        <f>'2.Heat Targets'!D62</f>
        <v>3364.8837209302328</v>
      </c>
      <c r="L42" s="83">
        <f>'2.Heat Targets'!E62</f>
        <v>4230.1395348837204</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10.403195950376629</v>
      </c>
      <c r="J43" s="63">
        <f>'2.Heat Targets'!C63</f>
        <v>44.227785027500431</v>
      </c>
      <c r="K43" s="63">
        <f>'2.Heat Targets'!D63</f>
        <v>93.225010724127443</v>
      </c>
      <c r="L43" s="64">
        <f>'2.Heat Targets'!E63</f>
        <v>118.27061928966343</v>
      </c>
      <c r="O43" s="62">
        <f>O42/((0.7*O34)/2.4)</f>
        <v>151.5088205712978</v>
      </c>
      <c r="P43" s="112">
        <f>P42/((0.75*P34)/2.6)</f>
        <v>-9700.2902456916872</v>
      </c>
      <c r="Q43" s="112">
        <f>Q42/((0.8*Q34)/2.8)</f>
        <v>-3191.6125200247739</v>
      </c>
      <c r="R43" s="64">
        <f>R42/((0.85*R34)/3)</f>
        <v>-1236.7713989009928</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3.689076578147741E-2</v>
      </c>
      <c r="J44" s="66">
        <f>'2.Heat Targets'!C64</f>
        <v>0.14795860105546779</v>
      </c>
      <c r="K44" s="66">
        <f>'2.Heat Targets'!D64</f>
        <v>0.29421960164809491</v>
      </c>
      <c r="L44" s="67">
        <f>'2.Heat Targets'!E64</f>
        <v>0.35213578926160821</v>
      </c>
      <c r="O44" s="109">
        <f>O43/O28</f>
        <v>0.53726532117481496</v>
      </c>
      <c r="P44" s="109">
        <f>P43/P28</f>
        <v>-32.451124868498887</v>
      </c>
      <c r="Q44" s="109">
        <f>Q43/Q28</f>
        <v>-10.072779364279878</v>
      </c>
      <c r="R44" s="113">
        <f>R43/R28</f>
        <v>-3.6823301958159873</v>
      </c>
      <c r="T44" t="str">
        <f>'2.Heat Targets'!G64</f>
        <v>This formula computes the estimated share of area residences using Heat Pumps in the 90x50 scenario based on values inputted above and in the "1.Current Heat" tab.</v>
      </c>
    </row>
    <row r="45" spans="9:20" x14ac:dyDescent="0.25">
      <c r="I45" s="81">
        <f>'2.Heat Targets'!B65</f>
        <v>7552.2945736434121</v>
      </c>
      <c r="J45" s="82">
        <f>'2.Heat Targets'!C65</f>
        <v>5907.24031007752</v>
      </c>
      <c r="K45" s="82">
        <f>'2.Heat Targets'!D65</f>
        <v>3781.4883720930234</v>
      </c>
      <c r="L45" s="83">
        <f>'2.Heat Targets'!E65</f>
        <v>1324.5891472868218</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55.005787135057624</v>
      </c>
      <c r="J46" s="63">
        <f>'2.Heat Targets'!C66</f>
        <v>45.225527219319048</v>
      </c>
      <c r="K46" s="63">
        <f>'2.Heat Targets'!D66</f>
        <v>29.9334728311484</v>
      </c>
      <c r="L46" s="64">
        <f>'2.Heat Targets'!E66</f>
        <v>10.493033058190681</v>
      </c>
      <c r="O46" s="62">
        <f>O45/O34</f>
        <v>1726.3940330697094</v>
      </c>
      <c r="P46" s="62">
        <f>P45/P34</f>
        <v>-18446.323229811878</v>
      </c>
      <c r="Q46" s="62">
        <f>Q45/Q34</f>
        <v>-1627.8631580745559</v>
      </c>
      <c r="R46" s="112">
        <f>R45/R34</f>
        <v>-105.33684104027908</v>
      </c>
      <c r="T46" t="str">
        <f>'2.Heat Targets'!G66</f>
        <v>This formula computes the estimates number of area residences using fossil heat in the 90x50 scenario based on values inputted in the "1.Current Heat" tab.</v>
      </c>
    </row>
    <row r="47" spans="9:20" x14ac:dyDescent="0.25">
      <c r="I47" s="65">
        <f>'2.Heat Targets'!B67</f>
        <v>0.19505598274843128</v>
      </c>
      <c r="J47" s="66">
        <f>'2.Heat Targets'!C67</f>
        <v>0.15129642452602385</v>
      </c>
      <c r="K47" s="66">
        <f>'2.Heat Targets'!D67</f>
        <v>9.4470511549592365E-2</v>
      </c>
      <c r="L47" s="67">
        <f>'2.Heat Targets'!E67</f>
        <v>3.1241676926071986E-2</v>
      </c>
      <c r="O47" s="109">
        <f>O46/O28</f>
        <v>6.1219646562755656</v>
      </c>
      <c r="P47" s="109">
        <f>P46/P28</f>
        <v>-61.709899738431275</v>
      </c>
      <c r="Q47" s="109">
        <f>Q46/Q28</f>
        <v>-5.1375617571513921</v>
      </c>
      <c r="R47" s="113">
        <f>R46/R28</f>
        <v>-0.31362710266356969</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5" sqref="I15:K15"/>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308</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1.1000098984925554E-3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1.068217054263566E-2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1.575464762104821E-4</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2.0562028786840301E-3</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7" zoomScale="70" zoomScaleNormal="70" workbookViewId="0">
      <selection activeCell="B22" sqref="B22"/>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41170.900047878786</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548</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348727.27272727271</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317341.81818181818</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38480.39286</v>
      </c>
      <c r="C22" s="266" t="s">
        <v>66</v>
      </c>
      <c r="D22" s="266"/>
      <c r="E22" s="266"/>
      <c r="F22" s="266"/>
      <c r="G22" s="266"/>
      <c r="H22" s="266"/>
      <c r="I22" s="266"/>
      <c r="J22" s="266"/>
      <c r="K22" s="266"/>
      <c r="L22" s="266"/>
      <c r="M22" s="266"/>
      <c r="N22" s="266"/>
    </row>
    <row r="23" spans="1:14" ht="36" customHeight="1" x14ac:dyDescent="0.25">
      <c r="B23" s="120">
        <f>B18-B20</f>
        <v>31385.45454545453</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2658.661854545453</v>
      </c>
      <c r="C25" s="266" t="s">
        <v>69</v>
      </c>
      <c r="D25" s="266"/>
      <c r="E25" s="266"/>
      <c r="F25" s="266"/>
      <c r="G25" s="266"/>
      <c r="H25" s="266"/>
      <c r="I25" s="266"/>
      <c r="J25" s="266"/>
      <c r="K25" s="266"/>
      <c r="L25" s="266"/>
      <c r="M25" s="266"/>
      <c r="N25" s="266"/>
    </row>
    <row r="26" spans="1:14" ht="36" customHeight="1" x14ac:dyDescent="0.25">
      <c r="B26" s="122">
        <f>B22+B25</f>
        <v>41139.054714545455</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4</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9333.3333333333339</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31.845333333333336</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45204.258199125972</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282</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137.30000000000001</v>
      </c>
      <c r="C10" s="273" t="s">
        <v>543</v>
      </c>
      <c r="D10" s="272"/>
      <c r="E10" s="272"/>
      <c r="F10" s="272"/>
      <c r="G10" s="272"/>
      <c r="H10" s="272"/>
      <c r="I10" s="272"/>
      <c r="J10" s="272"/>
      <c r="K10" s="272"/>
      <c r="L10" s="272"/>
      <c r="M10" s="272"/>
      <c r="N10" s="272"/>
      <c r="O10" s="212">
        <f>SUM('2.Heat Targets'!E58,'2.Heat Targets'!E61,'2.Heat Targets'!E64,'2.Heat Targets'!E67)</f>
        <v>0.67891365194802233</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38718.600000000006</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3</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2161.8860663753221</v>
      </c>
      <c r="C24" s="274" t="s">
        <v>541</v>
      </c>
      <c r="D24" s="275"/>
      <c r="E24" s="275"/>
      <c r="F24" s="275"/>
      <c r="G24" s="275"/>
      <c r="H24" s="275"/>
      <c r="I24" s="275"/>
      <c r="J24" s="275"/>
      <c r="K24" s="275"/>
      <c r="L24" s="275"/>
      <c r="M24" s="275"/>
      <c r="N24" s="275"/>
      <c r="O24" s="212">
        <f ca="1">SUM('2.Heat Targets'!E76,'2.Heat Targets'!E79,'2.Heat Targets'!E82,'2.Heat Targets'!E85)</f>
        <v>0.22297612219172086</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0</v>
      </c>
      <c r="L33" s="41">
        <f t="shared" ca="1" si="1"/>
        <v>0</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0</v>
      </c>
      <c r="L35" s="41">
        <f t="shared" ca="1" si="1"/>
        <v>0</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0.33333333333333331</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1</v>
      </c>
      <c r="L38" s="41">
        <f t="shared" ca="1" si="1"/>
        <v>0.33333333333333331</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0.33333333333333331</v>
      </c>
      <c r="Q40" s="23"/>
    </row>
    <row r="41" spans="2:19" ht="33" customHeight="1" x14ac:dyDescent="0.25">
      <c r="B41" s="54"/>
      <c r="D41" s="42"/>
      <c r="E41" s="185">
        <f>SUM(E27:E40)</f>
        <v>18617</v>
      </c>
      <c r="F41" s="185"/>
      <c r="G41" s="185">
        <f>SUM(G27:G40)</f>
        <v>201453</v>
      </c>
      <c r="H41" s="43"/>
      <c r="I41" s="44">
        <v>13000000</v>
      </c>
      <c r="J41" s="43"/>
      <c r="K41" s="185">
        <f ca="1">SUM(K27:K40)</f>
        <v>3</v>
      </c>
      <c r="L41" s="45">
        <f ca="1">SUMPRODUCT(J27:J40,L27:L40)</f>
        <v>2161.8860663753221</v>
      </c>
      <c r="M41" s="278" t="s">
        <v>542</v>
      </c>
      <c r="N41" s="279"/>
      <c r="O41" s="279"/>
      <c r="P41" s="279"/>
      <c r="Q41" s="279"/>
      <c r="R41" s="279"/>
      <c r="S41" s="279"/>
    </row>
    <row r="42" spans="2:19" ht="22.5" customHeight="1" x14ac:dyDescent="0.25">
      <c r="B42" s="54"/>
    </row>
    <row r="43" spans="2:19" ht="37.5" customHeight="1" x14ac:dyDescent="0.25">
      <c r="B43" s="55">
        <f ca="1">B22*B24</f>
        <v>6485.6581991259663</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1.9027879068586967E-4</v>
      </c>
      <c r="C45" s="266" t="s">
        <v>489</v>
      </c>
      <c r="D45" s="266"/>
      <c r="E45" s="266"/>
      <c r="F45" s="266"/>
      <c r="G45" s="266"/>
      <c r="H45" s="266"/>
      <c r="I45" s="266"/>
      <c r="J45" s="266"/>
      <c r="K45" s="266"/>
      <c r="L45" s="266"/>
      <c r="M45" s="266"/>
      <c r="N45" s="266"/>
      <c r="O45" s="266"/>
    </row>
    <row r="52" spans="4:4" x14ac:dyDescent="0.25">
      <c r="D52" s="23"/>
    </row>
  </sheetData>
  <mergeCells count="17">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 ref="C10:N10"/>
    <mergeCell ref="C45:O45"/>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82" sqref="C82"/>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54340.201550387603</v>
      </c>
      <c r="C24" s="129">
        <f>'LEAP Region'!C14*1000</f>
        <v>45559.457364341084</v>
      </c>
      <c r="D24" s="129">
        <f>'LEAP Region'!D14*1000</f>
        <v>37643.968992248061</v>
      </c>
      <c r="E24" s="130">
        <f>'LEAP Region'!E14*1000</f>
        <v>25690.620155038763</v>
      </c>
      <c r="G24" s="281" t="s">
        <v>122</v>
      </c>
      <c r="H24" s="281"/>
      <c r="I24" s="281"/>
      <c r="J24" s="281"/>
      <c r="K24" s="281"/>
      <c r="L24" s="281"/>
      <c r="M24" s="281"/>
      <c r="N24" s="281"/>
    </row>
    <row r="25" spans="2:18" ht="56.25" customHeight="1" x14ac:dyDescent="0.25">
      <c r="B25" s="178">
        <f>('LEAP Region'!B7+'LEAP Region'!B8)*(2.4-1)*1000</f>
        <v>433.6961240310078</v>
      </c>
      <c r="C25" s="179">
        <f>('LEAP Region'!C7+'LEAP Region'!C8)*(2.6-1)*1000</f>
        <v>2324.4403100775198</v>
      </c>
      <c r="D25" s="179">
        <f>('LEAP Region'!D7+'LEAP Region'!D8)*(2.8-1)*1000</f>
        <v>4576.2418604651157</v>
      </c>
      <c r="E25" s="180">
        <f>('LEAP Region'!E7+'LEAP Region'!E8)*(2.3-1)*1000</f>
        <v>4902.0480620155049</v>
      </c>
      <c r="G25" s="281" t="s">
        <v>178</v>
      </c>
      <c r="H25" s="281"/>
      <c r="I25" s="281"/>
      <c r="J25" s="281"/>
      <c r="K25" s="281"/>
      <c r="L25" s="281"/>
      <c r="M25" s="281"/>
      <c r="N25" s="281"/>
    </row>
    <row r="26" spans="2:18" ht="56.25" customHeight="1" x14ac:dyDescent="0.25">
      <c r="B26" s="128">
        <f>'LEAP Region'!H14*1000</f>
        <v>52940.837209302321</v>
      </c>
      <c r="C26" s="129">
        <f>'LEAP Region'!I14*1000</f>
        <v>43220.06201550387</v>
      </c>
      <c r="D26" s="129">
        <f>'LEAP Region'!J14*1000</f>
        <v>32687.441860465115</v>
      </c>
      <c r="E26" s="130">
        <f>'LEAP Region'!K14*1000</f>
        <v>18416.062015503878</v>
      </c>
      <c r="G26" s="281" t="s">
        <v>123</v>
      </c>
      <c r="H26" s="281"/>
      <c r="I26" s="281"/>
      <c r="J26" s="281"/>
      <c r="K26" s="281"/>
      <c r="L26" s="281"/>
      <c r="M26" s="281"/>
      <c r="N26" s="281"/>
    </row>
    <row r="27" spans="2:18" ht="56.25" customHeight="1" thickBot="1" x14ac:dyDescent="0.3">
      <c r="B27" s="181">
        <f>('LEAP Region'!H7+'LEAP Region'!H8)*(2.4-1)*1000</f>
        <v>583.24651162790713</v>
      </c>
      <c r="C27" s="182">
        <f>('LEAP Region'!I7+'LEAP Region'!I8)*(2.6-1)*1000</f>
        <v>2666.2697674418609</v>
      </c>
      <c r="D27" s="182">
        <f>('LEAP Region'!J7+'LEAP Region'!J8)*(2.8-1)*1000</f>
        <v>6056.790697674418</v>
      </c>
      <c r="E27" s="183">
        <f>('LEAP Region'!K7+'LEAP Region'!K8)*(3-1)*1000</f>
        <v>8460.2790697674409</v>
      </c>
      <c r="G27" s="281" t="s">
        <v>178</v>
      </c>
      <c r="H27" s="281"/>
      <c r="I27" s="281"/>
      <c r="J27" s="281"/>
      <c r="K27" s="281"/>
      <c r="L27" s="281"/>
      <c r="M27" s="281"/>
      <c r="N27" s="281"/>
    </row>
    <row r="28" spans="2:18" ht="56.25" customHeight="1" thickTop="1" x14ac:dyDescent="0.25">
      <c r="B28" s="128">
        <f>B24+B25-B26-B27</f>
        <v>1249.8139534883794</v>
      </c>
      <c r="C28" s="129">
        <f>C24+C25-C26-C27</f>
        <v>1997.565891472876</v>
      </c>
      <c r="D28" s="129">
        <f>D24+D25-D26-D27</f>
        <v>3475.9782945736461</v>
      </c>
      <c r="E28" s="130">
        <f>E24+E25-E26-E27</f>
        <v>3716.3271317829513</v>
      </c>
      <c r="G28" s="281" t="s">
        <v>177</v>
      </c>
      <c r="H28" s="281"/>
      <c r="I28" s="281"/>
      <c r="J28" s="281"/>
      <c r="K28" s="281"/>
      <c r="L28" s="281"/>
      <c r="M28" s="281"/>
      <c r="N28" s="281"/>
    </row>
    <row r="29" spans="2:18" ht="56.25" customHeight="1" x14ac:dyDescent="0.25">
      <c r="B29" s="282">
        <f>0.25*'1.Current Heat'!B10</f>
        <v>34.325000000000003</v>
      </c>
      <c r="C29" s="283"/>
      <c r="D29" s="283"/>
      <c r="E29" s="284"/>
      <c r="G29" s="281" t="s">
        <v>124</v>
      </c>
      <c r="H29" s="281"/>
      <c r="I29" s="281"/>
      <c r="J29" s="281"/>
      <c r="K29" s="281"/>
      <c r="L29" s="281"/>
      <c r="M29" s="281"/>
      <c r="N29" s="281"/>
      <c r="R29">
        <v>60</v>
      </c>
    </row>
    <row r="30" spans="2:18" ht="56.25" customHeight="1" x14ac:dyDescent="0.25">
      <c r="B30" s="128">
        <f>B28/$B$29</f>
        <v>36.411185826318409</v>
      </c>
      <c r="C30" s="129">
        <f>C28/$B$29</f>
        <v>58.195655978816482</v>
      </c>
      <c r="D30" s="129">
        <f>D28/$B$29</f>
        <v>101.26666553746965</v>
      </c>
      <c r="E30" s="130">
        <f>E28/$B$29</f>
        <v>108.26881665791554</v>
      </c>
      <c r="G30" s="281" t="s">
        <v>125</v>
      </c>
      <c r="H30" s="281"/>
      <c r="I30" s="281"/>
      <c r="J30" s="281"/>
      <c r="K30" s="281"/>
      <c r="L30" s="281"/>
      <c r="M30" s="281"/>
      <c r="N30" s="281"/>
      <c r="R30">
        <v>96</v>
      </c>
    </row>
    <row r="31" spans="2:18" ht="56.25" customHeight="1" x14ac:dyDescent="0.25">
      <c r="B31" s="131">
        <f>'1.Current Heat'!B8</f>
        <v>282</v>
      </c>
      <c r="C31" s="132">
        <f t="shared" ref="C31:E31" si="0">B31*1.06</f>
        <v>298.92</v>
      </c>
      <c r="D31" s="132">
        <f t="shared" si="0"/>
        <v>316.85520000000002</v>
      </c>
      <c r="E31" s="133">
        <f t="shared" si="0"/>
        <v>335.86651200000006</v>
      </c>
      <c r="G31" s="281" t="s">
        <v>126</v>
      </c>
      <c r="H31" s="281"/>
      <c r="I31" s="281"/>
      <c r="J31" s="281"/>
      <c r="K31" s="281"/>
      <c r="L31" s="281"/>
      <c r="M31" s="281"/>
      <c r="N31" s="281"/>
      <c r="O31" s="186">
        <f>(E31/B31)^(1/(E23-B23))-1</f>
        <v>5.006971033976404E-3</v>
      </c>
      <c r="R31">
        <f>R29+R30</f>
        <v>156</v>
      </c>
    </row>
    <row r="32" spans="2:18" ht="56.25" customHeight="1" x14ac:dyDescent="0.25">
      <c r="B32" s="134">
        <f>B30/B31</f>
        <v>0.12911768023517167</v>
      </c>
      <c r="C32" s="135">
        <f>C30/C31</f>
        <v>0.1946863909367606</v>
      </c>
      <c r="D32" s="135">
        <f>D30/D31</f>
        <v>0.3195991908526975</v>
      </c>
      <c r="E32" s="136">
        <f>E30/E31</f>
        <v>0.32235668871303108</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1852.6387936943111</v>
      </c>
      <c r="C37" s="129">
        <f>('LEAP Region'!O11-'LEAP Region'!O6)*1000</f>
        <v>1762.165867032214</v>
      </c>
      <c r="D37" s="129">
        <f>('LEAP Region'!P11-'LEAP Region'!P6)*1000</f>
        <v>1630.5688827964361</v>
      </c>
      <c r="E37" s="130">
        <f>('LEAP Region'!Q11-'LEAP Region'!Q6)*1000</f>
        <v>1447.5668265935574</v>
      </c>
      <c r="G37" s="281" t="s">
        <v>179</v>
      </c>
      <c r="H37" s="281"/>
      <c r="I37" s="281"/>
      <c r="J37" s="281"/>
      <c r="K37" s="281"/>
      <c r="L37" s="281"/>
      <c r="M37" s="281"/>
      <c r="N37" s="281"/>
    </row>
    <row r="38" spans="2:34" ht="56.25" customHeight="1" x14ac:dyDescent="0.25">
      <c r="B38" s="128">
        <f>'LEAP Region'!N6*1000</f>
        <v>1550.3769705277587</v>
      </c>
      <c r="C38" s="129">
        <f>'LEAP Region'!O6*1000</f>
        <v>1649.074708704592</v>
      </c>
      <c r="D38" s="129">
        <f>'LEAP Region'!P6*1000</f>
        <v>1721.0418094585332</v>
      </c>
      <c r="E38" s="130">
        <f>'LEAP Region'!Q6*1000</f>
        <v>1873.2008224811514</v>
      </c>
      <c r="F38" s="184"/>
      <c r="G38" s="281" t="s">
        <v>97</v>
      </c>
      <c r="H38" s="281"/>
      <c r="I38" s="281"/>
      <c r="J38" s="281"/>
      <c r="K38" s="281"/>
      <c r="L38" s="281"/>
      <c r="M38" s="281"/>
      <c r="N38" s="281"/>
    </row>
    <row r="39" spans="2:34" ht="56.25" customHeight="1" x14ac:dyDescent="0.25">
      <c r="B39" s="128">
        <f>0.005*B38</f>
        <v>7.7518848526387938</v>
      </c>
      <c r="C39" s="129">
        <f>B39-(($B$39-$E$39)/3)</f>
        <v>36.387936943111718</v>
      </c>
      <c r="D39" s="129">
        <f>C39-(($B$39-$E$39)/3)</f>
        <v>65.023989033584641</v>
      </c>
      <c r="E39" s="130">
        <f>0.05*E38</f>
        <v>93.660041124057571</v>
      </c>
      <c r="G39" s="281" t="s">
        <v>195</v>
      </c>
      <c r="H39" s="281"/>
      <c r="I39" s="281"/>
      <c r="J39" s="281"/>
      <c r="K39" s="281"/>
      <c r="L39" s="281"/>
      <c r="M39" s="281"/>
      <c r="N39" s="281"/>
      <c r="V39" s="21"/>
      <c r="W39" s="21"/>
      <c r="X39" s="21"/>
      <c r="Y39" s="21"/>
      <c r="AH39" s="21"/>
    </row>
    <row r="40" spans="2:34" ht="56.25" customHeight="1" x14ac:dyDescent="0.25">
      <c r="B40" s="142">
        <f>B39*(2.4-1)</f>
        <v>10.852638793694311</v>
      </c>
      <c r="C40" s="143">
        <f>C39*(2.6-1)</f>
        <v>58.220699108978749</v>
      </c>
      <c r="D40" s="143">
        <f>D39*(2.8-1)</f>
        <v>117.04318026045235</v>
      </c>
      <c r="E40" s="144">
        <f>E39*(3-1)</f>
        <v>187.32008224811514</v>
      </c>
      <c r="G40" s="281" t="s">
        <v>196</v>
      </c>
      <c r="H40" s="281"/>
      <c r="I40" s="281"/>
      <c r="J40" s="281"/>
      <c r="K40" s="281"/>
      <c r="L40" s="281"/>
      <c r="M40" s="281"/>
      <c r="N40" s="281"/>
      <c r="V40" s="21"/>
      <c r="W40" s="21"/>
      <c r="X40" s="21"/>
      <c r="Y40" s="21"/>
      <c r="AH40" s="21"/>
    </row>
    <row r="41" spans="2:34" ht="56.25" customHeight="1" x14ac:dyDescent="0.25">
      <c r="B41" s="128">
        <f>('LEAP Region'!T11-'LEAP Region'!T6)*1000</f>
        <v>1846.4701850582592</v>
      </c>
      <c r="C41" s="129">
        <f>('LEAP Region'!U11-'LEAP Region'!U6)*1000</f>
        <v>1716.9294037011653</v>
      </c>
      <c r="D41" s="129">
        <f>('LEAP Region'!V11-'LEAP Region'!V6)*1000</f>
        <v>1544.2083618917068</v>
      </c>
      <c r="E41" s="130">
        <f>('LEAP Region'!W11-'LEAP Region'!W6)*1000</f>
        <v>1295.4078135709392</v>
      </c>
      <c r="G41" s="281" t="s">
        <v>197</v>
      </c>
      <c r="H41" s="281"/>
      <c r="I41" s="281"/>
      <c r="J41" s="281"/>
      <c r="K41" s="281"/>
      <c r="L41" s="281"/>
      <c r="M41" s="281"/>
      <c r="N41" s="281"/>
      <c r="AH41" s="21"/>
    </row>
    <row r="42" spans="2:34" ht="56.25" customHeight="1" x14ac:dyDescent="0.25">
      <c r="B42" s="128">
        <f>'LEAP Region'!T6*1000</f>
        <v>1529.8149417409184</v>
      </c>
      <c r="C42" s="129">
        <f>'LEAP Region'!U6*1000</f>
        <v>1515.4215215901302</v>
      </c>
      <c r="D42" s="129">
        <f>'LEAP Region'!V6*1000</f>
        <v>1468.1288553803975</v>
      </c>
      <c r="E42" s="130">
        <f>'LEAP Region'!W6*1000</f>
        <v>1422.8923920493487</v>
      </c>
      <c r="G42" s="281" t="s">
        <v>98</v>
      </c>
      <c r="H42" s="281"/>
      <c r="I42" s="281"/>
      <c r="J42" s="281"/>
      <c r="K42" s="281"/>
      <c r="L42" s="281"/>
      <c r="M42" s="281"/>
      <c r="N42" s="281"/>
      <c r="V42" s="29"/>
      <c r="W42" s="29"/>
      <c r="X42" s="29"/>
      <c r="Y42" s="29"/>
      <c r="AH42" s="21"/>
    </row>
    <row r="43" spans="2:34" ht="56.25" customHeight="1" x14ac:dyDescent="0.25">
      <c r="B43" s="128">
        <f>B39</f>
        <v>7.7518848526387938</v>
      </c>
      <c r="C43" s="129">
        <f>B43-(($B$43-$E$43)/3)</f>
        <v>43.669179803518396</v>
      </c>
      <c r="D43" s="129">
        <f>C43-(($B$43-$E$43)/3)</f>
        <v>79.586474754397997</v>
      </c>
      <c r="E43" s="130">
        <f>0.8*((E37+E39+E40-E41)/3)</f>
        <v>115.50376970527759</v>
      </c>
      <c r="G43" s="281" t="s">
        <v>142</v>
      </c>
      <c r="H43" s="281"/>
      <c r="I43" s="281"/>
      <c r="J43" s="281"/>
      <c r="K43" s="281"/>
      <c r="L43" s="281"/>
      <c r="M43" s="281"/>
      <c r="N43" s="281"/>
      <c r="AH43" s="21"/>
    </row>
    <row r="44" spans="2:34" ht="56.25" customHeight="1" x14ac:dyDescent="0.25">
      <c r="B44" s="128">
        <f>B43*(2.4-1)</f>
        <v>10.852638793694311</v>
      </c>
      <c r="C44" s="129">
        <f>C43*(2.6-1)</f>
        <v>69.870687685629434</v>
      </c>
      <c r="D44" s="129">
        <f>D43*(2.8-1)</f>
        <v>143.25565455791639</v>
      </c>
      <c r="E44" s="130">
        <f>E43*(3-1)</f>
        <v>231.00753941055518</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6.1686086360518431</v>
      </c>
      <c r="C45" s="129">
        <f>C37+C39+C40-C41-C43-C44</f>
        <v>26.305231893991476</v>
      </c>
      <c r="D45" s="129">
        <f>D37+D39+D40-D41-D43-D44</f>
        <v>45.585560886452015</v>
      </c>
      <c r="E45" s="130">
        <f>E37+E39+E40-E41-E43-E44</f>
        <v>86.627827278958193</v>
      </c>
      <c r="F45" s="92"/>
      <c r="G45" s="281" t="s">
        <v>149</v>
      </c>
      <c r="H45" s="281"/>
      <c r="I45" s="281"/>
      <c r="J45" s="281"/>
      <c r="K45" s="281"/>
      <c r="L45" s="281"/>
      <c r="M45" s="281"/>
      <c r="N45" s="281"/>
      <c r="R45">
        <v>6</v>
      </c>
      <c r="AH45" s="21"/>
    </row>
    <row r="46" spans="2:34" ht="56.25" customHeight="1" x14ac:dyDescent="0.25">
      <c r="B46" s="285">
        <f ca="1">0.2*'1.Current Heat'!B24</f>
        <v>432.37721327506443</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1.4266729250895036E-2</v>
      </c>
      <c r="C47" s="129">
        <f ca="1">C45/$B$46</f>
        <v>6.083861749961586E-2</v>
      </c>
      <c r="D47" s="129">
        <f ca="1">D45/$B$46</f>
        <v>0.10543007236935946</v>
      </c>
      <c r="E47" s="130">
        <f ca="1">E45/$B$46</f>
        <v>0.200352434446744</v>
      </c>
      <c r="G47" s="281" t="s">
        <v>128</v>
      </c>
      <c r="H47" s="281"/>
      <c r="I47" s="281"/>
      <c r="J47" s="281"/>
      <c r="K47" s="281"/>
      <c r="L47" s="281"/>
      <c r="M47" s="281"/>
      <c r="N47" s="281"/>
    </row>
    <row r="48" spans="2:34" ht="56.25" customHeight="1" x14ac:dyDescent="0.25">
      <c r="B48" s="131">
        <f ca="1">'1.Current Heat'!B22</f>
        <v>3</v>
      </c>
      <c r="C48" s="132">
        <f t="shared" ref="C48:E48" ca="1" si="1">B48*1.06</f>
        <v>3.18</v>
      </c>
      <c r="D48" s="132">
        <f t="shared" ca="1" si="1"/>
        <v>3.3708000000000005</v>
      </c>
      <c r="E48" s="133">
        <f t="shared" ca="1" si="1"/>
        <v>3.5730480000000009</v>
      </c>
      <c r="G48" s="281" t="s">
        <v>194</v>
      </c>
      <c r="H48" s="281"/>
      <c r="I48" s="281"/>
      <c r="J48" s="281"/>
      <c r="K48" s="281"/>
      <c r="L48" s="281"/>
      <c r="M48" s="281"/>
      <c r="N48" s="281"/>
      <c r="O48" s="186">
        <f ca="1">(E48/B48)^(1/(E36-B36))-1</f>
        <v>5.006971033976404E-3</v>
      </c>
    </row>
    <row r="49" spans="1:14" ht="56.25" customHeight="1" x14ac:dyDescent="0.25">
      <c r="B49" s="134">
        <f ca="1">B47/B48</f>
        <v>4.7555764169650121E-3</v>
      </c>
      <c r="C49" s="135">
        <f ca="1">C47/C48</f>
        <v>1.9131640723149639E-2</v>
      </c>
      <c r="D49" s="135">
        <f ca="1">D47/D48</f>
        <v>3.1277463026391193E-2</v>
      </c>
      <c r="E49" s="136">
        <f ca="1">E47/E48</f>
        <v>5.6073255787983806E-2</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137.30000000000001</v>
      </c>
      <c r="C54" s="147">
        <f>C32*($B$54-$B$29)+(1-C32)*$B$54</f>
        <v>130.6173896310957</v>
      </c>
      <c r="D54" s="147">
        <f>D32*($B$54-$B$29)+(1-D32)*$B$54</f>
        <v>126.32975777398116</v>
      </c>
      <c r="E54" s="148">
        <f>E32*($B$54-$B$29)+(1-E32)*$B$54</f>
        <v>126.23510665992521</v>
      </c>
      <c r="F54" s="1"/>
      <c r="G54" s="281" t="s">
        <v>109</v>
      </c>
      <c r="H54" s="281"/>
      <c r="I54" s="281"/>
      <c r="J54" s="281"/>
      <c r="K54" s="281"/>
      <c r="L54" s="281"/>
      <c r="M54" s="281"/>
      <c r="N54" s="281"/>
    </row>
    <row r="55" spans="1:14" ht="56.25" customHeight="1" x14ac:dyDescent="0.25">
      <c r="B55" s="149">
        <f>('LEAP Region'!H4+'LEAP Region'!H9+'LEAP Region'!H12)*1000</f>
        <v>19527.007751937988</v>
      </c>
      <c r="C55" s="150">
        <f>('LEAP Region'!I4+'LEAP Region'!I9+'LEAP Region'!I12)*1000</f>
        <v>14175.240310077519</v>
      </c>
      <c r="D55" s="150">
        <f>('LEAP Region'!J4+'LEAP Region'!J9+'LEAP Region'!J12)*1000</f>
        <v>9015.7519379844962</v>
      </c>
      <c r="E55" s="151">
        <f>('LEAP Region'!K4+'LEAP Region'!K9+'LEAP Region'!K12)*1000</f>
        <v>1356.6356589147288</v>
      </c>
      <c r="G55" s="281" t="s">
        <v>110</v>
      </c>
      <c r="H55" s="281"/>
      <c r="I55" s="281"/>
      <c r="J55" s="281"/>
      <c r="K55" s="281"/>
      <c r="L55" s="281"/>
      <c r="M55" s="281"/>
      <c r="N55" s="281"/>
    </row>
    <row r="56" spans="1:14" ht="56.25" customHeight="1" x14ac:dyDescent="0.25">
      <c r="B56" s="152">
        <f>'LEAP Region'!H4*1000/'2.Heat Targets'!B55</f>
        <v>7.658643326039387E-3</v>
      </c>
      <c r="C56" s="153">
        <f>'LEAP Region'!I4*1000/'2.Heat Targets'!C55</f>
        <v>3.7678975131876423E-2</v>
      </c>
      <c r="D56" s="153">
        <f>'LEAP Region'!J4*1000/'2.Heat Targets'!D55</f>
        <v>9.7156398104265421E-2</v>
      </c>
      <c r="E56" s="154">
        <f>'LEAP Region'!K4*1000/'2.Heat Targets'!E55</f>
        <v>1</v>
      </c>
      <c r="G56" s="281" t="s">
        <v>137</v>
      </c>
      <c r="H56" s="281"/>
      <c r="I56" s="281"/>
      <c r="J56" s="281"/>
      <c r="K56" s="281"/>
      <c r="L56" s="281"/>
      <c r="M56" s="281"/>
      <c r="N56" s="281"/>
    </row>
    <row r="57" spans="1:14" ht="56.25" customHeight="1" x14ac:dyDescent="0.25">
      <c r="B57" s="128">
        <f>B55/B54</f>
        <v>142.22146942416597</v>
      </c>
      <c r="C57" s="129">
        <f>C55/C54</f>
        <v>108.52490889699162</v>
      </c>
      <c r="D57" s="129">
        <f>D55/D54</f>
        <v>71.366810930760593</v>
      </c>
      <c r="E57" s="130">
        <f>E55/E54</f>
        <v>10.746896761211422</v>
      </c>
      <c r="G57" s="281" t="s">
        <v>111</v>
      </c>
      <c r="H57" s="281"/>
      <c r="I57" s="281"/>
      <c r="J57" s="281"/>
      <c r="K57" s="281"/>
      <c r="L57" s="281"/>
      <c r="M57" s="281"/>
      <c r="N57" s="281"/>
    </row>
    <row r="58" spans="1:14" ht="56.25" customHeight="1" x14ac:dyDescent="0.25">
      <c r="B58" s="134">
        <f>B57/B31</f>
        <v>0.50433145185874462</v>
      </c>
      <c r="C58" s="135">
        <f>C57/C31</f>
        <v>0.36305670044490707</v>
      </c>
      <c r="D58" s="135">
        <f>D57/D31</f>
        <v>0.22523477894874563</v>
      </c>
      <c r="E58" s="136">
        <f>E57/E31</f>
        <v>3.199752394847695E-2</v>
      </c>
      <c r="G58" s="281" t="s">
        <v>130</v>
      </c>
      <c r="H58" s="281"/>
      <c r="I58" s="281"/>
      <c r="J58" s="281"/>
      <c r="K58" s="281"/>
      <c r="L58" s="281"/>
      <c r="M58" s="281"/>
      <c r="N58" s="281"/>
    </row>
    <row r="59" spans="1:14" ht="56.25" customHeight="1" x14ac:dyDescent="0.25">
      <c r="B59" s="149">
        <f>('LEAP Region'!H5+'LEAP Region'!H13)*1000</f>
        <v>23233.720930232557</v>
      </c>
      <c r="C59" s="150">
        <f>('LEAP Region'!I5+'LEAP Region'!I13)*1000</f>
        <v>19473.596899224809</v>
      </c>
      <c r="D59" s="150">
        <f>('LEAP Region'!J5+'LEAP Region'!J13)*1000</f>
        <v>15435.736434108529</v>
      </c>
      <c r="E59" s="151">
        <f>('LEAP Region'!K5+'LEAP Region'!K13)*1000</f>
        <v>11173.550387596901</v>
      </c>
      <c r="G59" s="281" t="s">
        <v>112</v>
      </c>
      <c r="H59" s="281"/>
      <c r="I59" s="281"/>
      <c r="J59" s="281"/>
      <c r="K59" s="281"/>
      <c r="L59" s="281"/>
      <c r="M59" s="281"/>
      <c r="N59" s="281"/>
    </row>
    <row r="60" spans="1:14" ht="56.25" customHeight="1" x14ac:dyDescent="0.25">
      <c r="A60" s="2"/>
      <c r="B60" s="128">
        <f>B59/B54</f>
        <v>169.21865207744031</v>
      </c>
      <c r="C60" s="129">
        <f>C59/C54</f>
        <v>149.08885374469915</v>
      </c>
      <c r="D60" s="129">
        <f>D59/D54</f>
        <v>122.1860684774278</v>
      </c>
      <c r="E60" s="130">
        <f>E59/E54</f>
        <v>88.513811119898818</v>
      </c>
      <c r="G60" s="281" t="s">
        <v>140</v>
      </c>
      <c r="H60" s="281"/>
      <c r="I60" s="281"/>
      <c r="J60" s="281"/>
      <c r="K60" s="281"/>
      <c r="L60" s="281"/>
      <c r="M60" s="281"/>
      <c r="N60" s="281"/>
    </row>
    <row r="61" spans="1:14" ht="56.25" customHeight="1" x14ac:dyDescent="0.25">
      <c r="B61" s="134">
        <f>B60/B31</f>
        <v>0.60006614211858267</v>
      </c>
      <c r="C61" s="135">
        <f>C60/C31</f>
        <v>0.49875837596915273</v>
      </c>
      <c r="D61" s="135">
        <f>D60/D31</f>
        <v>0.38562115590158463</v>
      </c>
      <c r="E61" s="136">
        <f>E60/E31</f>
        <v>0.2635386618118653</v>
      </c>
      <c r="G61" s="281" t="s">
        <v>131</v>
      </c>
      <c r="H61" s="281"/>
      <c r="I61" s="281"/>
      <c r="J61" s="281"/>
      <c r="K61" s="281"/>
      <c r="L61" s="281"/>
      <c r="M61" s="281"/>
      <c r="N61" s="281"/>
    </row>
    <row r="62" spans="1:14" ht="56.25" customHeight="1" x14ac:dyDescent="0.25">
      <c r="B62" s="149">
        <f>('LEAP Region'!H7+'LEAP Region'!H8)*1000</f>
        <v>416.60465116279079</v>
      </c>
      <c r="C62" s="150">
        <f>('LEAP Region'!I7+'LEAP Region'!I8)*1000</f>
        <v>1666.4186046511629</v>
      </c>
      <c r="D62" s="150">
        <f>('LEAP Region'!J7+'LEAP Region'!J8)*1000</f>
        <v>3364.8837209302328</v>
      </c>
      <c r="E62" s="151">
        <f>('LEAP Region'!K7+'LEAP Region'!K8)*1000</f>
        <v>4230.1395348837204</v>
      </c>
      <c r="G62" s="281" t="s">
        <v>113</v>
      </c>
      <c r="H62" s="281"/>
      <c r="I62" s="281"/>
      <c r="J62" s="281"/>
      <c r="K62" s="281"/>
      <c r="L62" s="281"/>
      <c r="M62" s="281"/>
      <c r="N62" s="281"/>
    </row>
    <row r="63" spans="1:14" ht="56.25" customHeight="1" x14ac:dyDescent="0.25">
      <c r="B63" s="128">
        <f>B62/((0.7*B54)/2.4)</f>
        <v>10.403195950376629</v>
      </c>
      <c r="C63" s="129">
        <f>C62/((0.75*C54)/2.6)</f>
        <v>44.227785027500431</v>
      </c>
      <c r="D63" s="129">
        <f>D62/((0.8*D54)/2.8)</f>
        <v>93.225010724127443</v>
      </c>
      <c r="E63" s="130">
        <f>E62/((0.85*E54)/3)</f>
        <v>118.27061928966343</v>
      </c>
      <c r="F63" s="91"/>
      <c r="G63" s="281" t="s">
        <v>180</v>
      </c>
      <c r="H63" s="281"/>
      <c r="I63" s="281"/>
      <c r="J63" s="281"/>
      <c r="K63" s="281"/>
      <c r="L63" s="281"/>
      <c r="M63" s="281"/>
      <c r="N63" s="281"/>
    </row>
    <row r="64" spans="1:14" ht="56.25" customHeight="1" x14ac:dyDescent="0.25">
      <c r="B64" s="134">
        <f>B63/B31</f>
        <v>3.689076578147741E-2</v>
      </c>
      <c r="C64" s="135">
        <f>C63/C31</f>
        <v>0.14795860105546779</v>
      </c>
      <c r="D64" s="135">
        <f>D63/D31</f>
        <v>0.29421960164809491</v>
      </c>
      <c r="E64" s="136">
        <f>E63/E31</f>
        <v>0.35213578926160821</v>
      </c>
      <c r="G64" s="281" t="s">
        <v>114</v>
      </c>
      <c r="H64" s="281"/>
      <c r="I64" s="281"/>
      <c r="J64" s="281"/>
      <c r="K64" s="281"/>
      <c r="L64" s="281"/>
      <c r="M64" s="281"/>
      <c r="N64" s="281"/>
    </row>
    <row r="65" spans="1:20" ht="56.25" customHeight="1" x14ac:dyDescent="0.25">
      <c r="B65" s="149">
        <f>('LEAP Region'!H10+'LEAP Region'!H11)*1000</f>
        <v>7552.2945736434121</v>
      </c>
      <c r="C65" s="150">
        <f>('LEAP Region'!I10+'LEAP Region'!I11)*1000</f>
        <v>5907.24031007752</v>
      </c>
      <c r="D65" s="150">
        <f>('LEAP Region'!J10+'LEAP Region'!J11)*1000</f>
        <v>3781.4883720930234</v>
      </c>
      <c r="E65" s="151">
        <f>('LEAP Region'!K10+'LEAP Region'!K11)*1000</f>
        <v>1324.5891472868218</v>
      </c>
      <c r="G65" s="281" t="s">
        <v>115</v>
      </c>
      <c r="H65" s="281"/>
      <c r="I65" s="281"/>
      <c r="J65" s="281"/>
      <c r="K65" s="281"/>
      <c r="L65" s="281"/>
      <c r="M65" s="281"/>
      <c r="N65" s="281"/>
    </row>
    <row r="66" spans="1:20" ht="56.25" customHeight="1" x14ac:dyDescent="0.25">
      <c r="B66" s="128">
        <f>B65/B54</f>
        <v>55.005787135057624</v>
      </c>
      <c r="C66" s="129">
        <f>C65/C54</f>
        <v>45.225527219319048</v>
      </c>
      <c r="D66" s="129">
        <f>D65/D54</f>
        <v>29.9334728311484</v>
      </c>
      <c r="E66" s="130">
        <f>E65/E54</f>
        <v>10.493033058190681</v>
      </c>
      <c r="G66" s="281" t="s">
        <v>146</v>
      </c>
      <c r="H66" s="281"/>
      <c r="I66" s="281"/>
      <c r="J66" s="281"/>
      <c r="K66" s="281"/>
      <c r="L66" s="281"/>
      <c r="M66" s="281"/>
      <c r="N66" s="281"/>
    </row>
    <row r="67" spans="1:20" ht="56.25" customHeight="1" x14ac:dyDescent="0.25">
      <c r="A67" s="21"/>
      <c r="B67" s="134">
        <f>B66/B31</f>
        <v>0.19505598274843128</v>
      </c>
      <c r="C67" s="135">
        <f>C66/C31</f>
        <v>0.15129642452602385</v>
      </c>
      <c r="D67" s="135">
        <f>D66/D31</f>
        <v>9.4470511549592365E-2</v>
      </c>
      <c r="E67" s="136">
        <f>E66/E31</f>
        <v>3.1241676926071986E-2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2161.8860663753221</v>
      </c>
      <c r="C72" s="156">
        <f ca="1">C49*($B$72-$B$46)+(1-C49)*$B$72</f>
        <v>2153.6139808740672</v>
      </c>
      <c r="D72" s="156">
        <f ca="1">D49*($B$72-$B$46)+(1-D49)*$B$72</f>
        <v>2148.3624040736572</v>
      </c>
      <c r="E72" s="157">
        <f ca="1">E49*($B$72-$B$46)+(1-E49)*$B$72</f>
        <v>2137.6412682984537</v>
      </c>
      <c r="G72" s="280" t="s">
        <v>134</v>
      </c>
      <c r="H72" s="280"/>
      <c r="I72" s="280"/>
      <c r="J72" s="280"/>
      <c r="K72" s="280"/>
      <c r="L72" s="280"/>
      <c r="M72" s="280"/>
      <c r="N72" s="280"/>
    </row>
    <row r="73" spans="1:20" ht="56.25" customHeight="1" x14ac:dyDescent="0.25">
      <c r="B73" s="149">
        <f>('LEAP Region'!T4+'LEAP Region'!T5+'LEAP Region'!T9)*1000</f>
        <v>941.74091843728581</v>
      </c>
      <c r="C73" s="150">
        <f>('LEAP Region'!U4+'LEAP Region'!U5+'LEAP Region'!U9)*1000</f>
        <v>789.58190541466752</v>
      </c>
      <c r="D73" s="150">
        <f>('LEAP Region'!V4+'LEAP Region'!V5+'LEAP Region'!V9)*1000</f>
        <v>612.748457847841</v>
      </c>
      <c r="E73" s="151">
        <f>('LEAP Region'!W4+'LEAP Region'!W5+'LEAP Region'!W9)*1000</f>
        <v>339.27347498286497</v>
      </c>
      <c r="G73" s="281" t="s">
        <v>133</v>
      </c>
      <c r="H73" s="281"/>
      <c r="I73" s="281"/>
      <c r="J73" s="281"/>
      <c r="K73" s="281"/>
      <c r="L73" s="281"/>
      <c r="M73" s="281"/>
      <c r="N73" s="281"/>
    </row>
    <row r="74" spans="1:20" ht="56.25" customHeight="1" x14ac:dyDescent="0.25">
      <c r="B74" s="158">
        <f ca="1">com_share_state_target*'LEAP Statewide'!T4*1000/'2.Heat Targets'!B73</f>
        <v>8.3244616675110447E-3</v>
      </c>
      <c r="C74" s="145">
        <f ca="1">com_share_state_target*'LEAP Statewide'!U4*1000/'2.Heat Targets'!C73</f>
        <v>6.2078191185166817E-2</v>
      </c>
      <c r="D74" s="145">
        <f ca="1">com_share_state_target*'LEAP Statewide'!V4*1000/'2.Heat Targets'!D73</f>
        <v>0.15008073600295693</v>
      </c>
      <c r="E74" s="159">
        <f ca="1">com_share_state_target*'LEAP Statewide'!W4*1000/'2.Heat Targets'!E73</f>
        <v>0.48198755509458924</v>
      </c>
      <c r="G74" s="281" t="s">
        <v>136</v>
      </c>
      <c r="H74" s="281"/>
      <c r="I74" s="281"/>
      <c r="J74" s="281"/>
      <c r="K74" s="281"/>
      <c r="L74" s="281"/>
      <c r="M74" s="281"/>
      <c r="N74" s="281"/>
    </row>
    <row r="75" spans="1:20" ht="56.25" customHeight="1" x14ac:dyDescent="0.25">
      <c r="B75" s="128">
        <f ca="1">B73/B72</f>
        <v>0.43561079979401257</v>
      </c>
      <c r="C75" s="129">
        <f ca="1">C73/C72</f>
        <v>0.36663111979529744</v>
      </c>
      <c r="D75" s="129">
        <f ca="1">D73/D72</f>
        <v>0.28521652430984951</v>
      </c>
      <c r="E75" s="130">
        <f ca="1">E73/E72</f>
        <v>0.15871394326744268</v>
      </c>
      <c r="G75" s="281" t="s">
        <v>135</v>
      </c>
      <c r="H75" s="281"/>
      <c r="I75" s="281"/>
      <c r="J75" s="281"/>
      <c r="K75" s="281"/>
      <c r="L75" s="281"/>
      <c r="M75" s="281"/>
      <c r="N75" s="281"/>
    </row>
    <row r="76" spans="1:20" ht="56.25" customHeight="1" x14ac:dyDescent="0.25">
      <c r="B76" s="134">
        <f ca="1">B75/B48</f>
        <v>0.14520359993133752</v>
      </c>
      <c r="C76" s="135">
        <f ca="1">C75/C48</f>
        <v>0.11529280496707467</v>
      </c>
      <c r="D76" s="135">
        <f ca="1">D75/D48</f>
        <v>8.461389708966699E-2</v>
      </c>
      <c r="E76" s="136">
        <f ca="1">E75/E48</f>
        <v>4.4419762417813202E-2</v>
      </c>
      <c r="G76" s="281" t="s">
        <v>181</v>
      </c>
      <c r="H76" s="281"/>
      <c r="I76" s="281"/>
      <c r="J76" s="281"/>
      <c r="K76" s="281"/>
      <c r="L76" s="281"/>
      <c r="M76" s="281"/>
      <c r="N76" s="281"/>
    </row>
    <row r="77" spans="1:20" ht="56.25" customHeight="1" x14ac:dyDescent="0.25">
      <c r="B77" s="128">
        <f>'LEAP Region'!T10*1000</f>
        <v>289.92460589444823</v>
      </c>
      <c r="C77" s="129">
        <f>'LEAP Region'!U10*1000</f>
        <v>396.84715558601778</v>
      </c>
      <c r="D77" s="129">
        <f>'LEAP Region'!V10*1000</f>
        <v>501.71350239890336</v>
      </c>
      <c r="E77" s="130">
        <f>'LEAP Region'!W10*1000</f>
        <v>682.65935572309797</v>
      </c>
      <c r="G77" s="281" t="s">
        <v>138</v>
      </c>
      <c r="H77" s="281"/>
      <c r="I77" s="281"/>
      <c r="J77" s="281"/>
      <c r="K77" s="281"/>
      <c r="L77" s="281"/>
      <c r="M77" s="281"/>
      <c r="N77" s="281"/>
    </row>
    <row r="78" spans="1:20" ht="56.25" customHeight="1" x14ac:dyDescent="0.25">
      <c r="B78" s="128">
        <f ca="1">B77/B72</f>
        <v>0.13410725495841871</v>
      </c>
      <c r="C78" s="129">
        <f ca="1">C77/C72</f>
        <v>0.1842703284387823</v>
      </c>
      <c r="D78" s="129">
        <f ca="1">D77/D72</f>
        <v>0.23353299305907141</v>
      </c>
      <c r="E78" s="130">
        <f ca="1">E77/E72</f>
        <v>0.31935169190782403</v>
      </c>
      <c r="G78" s="281" t="s">
        <v>139</v>
      </c>
      <c r="H78" s="281"/>
      <c r="I78" s="281"/>
      <c r="J78" s="281"/>
      <c r="K78" s="281"/>
      <c r="L78" s="281"/>
      <c r="M78" s="281"/>
      <c r="N78" s="281"/>
    </row>
    <row r="79" spans="1:20" ht="56.25" customHeight="1" x14ac:dyDescent="0.25">
      <c r="B79" s="134">
        <f ca="1">B78/B48</f>
        <v>4.4702418319472907E-2</v>
      </c>
      <c r="C79" s="135">
        <f ca="1">C78/C48</f>
        <v>5.7946644163139084E-2</v>
      </c>
      <c r="D79" s="135">
        <f ca="1">D78/D48</f>
        <v>6.9281177482814579E-2</v>
      </c>
      <c r="E79" s="136">
        <f ca="1">E78/E48</f>
        <v>8.937794619826657E-2</v>
      </c>
      <c r="G79" s="281" t="s">
        <v>141</v>
      </c>
      <c r="H79" s="281"/>
      <c r="I79" s="281"/>
      <c r="J79" s="281"/>
      <c r="K79" s="281"/>
      <c r="L79" s="281"/>
      <c r="M79" s="281"/>
      <c r="N79" s="281"/>
    </row>
    <row r="80" spans="1:20" ht="56.25" customHeight="1" x14ac:dyDescent="0.25">
      <c r="B80" s="149">
        <f>B43</f>
        <v>7.7518848526387938</v>
      </c>
      <c r="C80" s="150">
        <f>C43</f>
        <v>43.669179803518396</v>
      </c>
      <c r="D80" s="150">
        <f>D43</f>
        <v>79.586474754397997</v>
      </c>
      <c r="E80" s="151">
        <f>E43</f>
        <v>115.50376970527759</v>
      </c>
      <c r="G80" s="281" t="s">
        <v>142</v>
      </c>
      <c r="H80" s="281"/>
      <c r="I80" s="281"/>
      <c r="J80" s="281"/>
      <c r="K80" s="281"/>
      <c r="L80" s="281"/>
      <c r="M80" s="281"/>
      <c r="N80" s="281"/>
    </row>
    <row r="81" spans="2:14" ht="56.25" customHeight="1" x14ac:dyDescent="0.25">
      <c r="B81" s="128">
        <f ca="1">B80/((0.7*B72)/2.4)</f>
        <v>1.2293844405914616E-2</v>
      </c>
      <c r="C81" s="129">
        <f ca="1">C80/((0.75*C72)/2.6)</f>
        <v>7.0294161966801785E-2</v>
      </c>
      <c r="D81" s="129">
        <f ca="1">D80/((0.8*D72)/2.8)</f>
        <v>0.1296581345457406</v>
      </c>
      <c r="E81" s="130">
        <f ca="1">E80/((0.85*E72)/3)</f>
        <v>0.19070569496919387</v>
      </c>
      <c r="G81" s="281" t="s">
        <v>143</v>
      </c>
      <c r="H81" s="281"/>
      <c r="I81" s="281"/>
      <c r="J81" s="281"/>
      <c r="K81" s="281"/>
      <c r="L81" s="281"/>
      <c r="M81" s="281"/>
      <c r="N81" s="281"/>
    </row>
    <row r="82" spans="2:14" ht="56.25" customHeight="1" x14ac:dyDescent="0.25">
      <c r="B82" s="134">
        <f ca="1">B81/B48</f>
        <v>4.097948135304872E-3</v>
      </c>
      <c r="C82" s="135">
        <f ca="1">C81/C48</f>
        <v>2.2105082379497414E-2</v>
      </c>
      <c r="D82" s="135">
        <f ca="1">D81/D48</f>
        <v>3.8465092721532153E-2</v>
      </c>
      <c r="E82" s="136">
        <f ca="1">E81/E48</f>
        <v>5.3373392960070459E-2</v>
      </c>
      <c r="G82" s="281" t="s">
        <v>144</v>
      </c>
      <c r="H82" s="281"/>
      <c r="I82" s="281"/>
      <c r="J82" s="281"/>
      <c r="K82" s="281"/>
      <c r="L82" s="281"/>
      <c r="M82" s="281"/>
      <c r="N82" s="281"/>
    </row>
    <row r="83" spans="2:14" ht="56.25" customHeight="1" x14ac:dyDescent="0.25">
      <c r="B83" s="149">
        <f>('LEAP Region'!T7+'LEAP Region'!T8)*1000</f>
        <v>614.80466072652496</v>
      </c>
      <c r="C83" s="150">
        <f>('LEAP Region'!U7+'LEAP Region'!U8)*1000</f>
        <v>530.50034270047979</v>
      </c>
      <c r="D83" s="150">
        <f>('LEAP Region'!V7+'LEAP Region'!V8)*1000</f>
        <v>429.7464016449623</v>
      </c>
      <c r="E83" s="151">
        <f>('LEAP Region'!W7+'LEAP Region'!W8)*1000</f>
        <v>273.47498286497603</v>
      </c>
      <c r="G83" s="281" t="s">
        <v>145</v>
      </c>
      <c r="H83" s="281"/>
      <c r="I83" s="281"/>
      <c r="J83" s="281"/>
      <c r="K83" s="281"/>
      <c r="L83" s="281"/>
      <c r="M83" s="281"/>
      <c r="N83" s="281"/>
    </row>
    <row r="84" spans="2:14" ht="56.25" customHeight="1" x14ac:dyDescent="0.25">
      <c r="B84" s="128">
        <f ca="1">B83/B72</f>
        <v>0.28438346973451911</v>
      </c>
      <c r="C84" s="129">
        <f ca="1">C83/C72</f>
        <v>0.24633028361246548</v>
      </c>
      <c r="D84" s="129">
        <f ca="1">D83/D72</f>
        <v>0.20003440798912264</v>
      </c>
      <c r="E84" s="130">
        <f ca="1">E83/E72</f>
        <v>0.12793305730042348</v>
      </c>
      <c r="G84" s="281" t="s">
        <v>147</v>
      </c>
      <c r="H84" s="281"/>
      <c r="I84" s="281"/>
      <c r="J84" s="281"/>
      <c r="K84" s="281"/>
      <c r="L84" s="281"/>
      <c r="M84" s="281"/>
      <c r="N84" s="281"/>
    </row>
    <row r="85" spans="2:14" ht="56.25" customHeight="1" x14ac:dyDescent="0.25">
      <c r="B85" s="134">
        <f ca="1">B84/B48</f>
        <v>9.4794489911506366E-2</v>
      </c>
      <c r="C85" s="135">
        <f ca="1">C84/C48</f>
        <v>7.7462353337253292E-2</v>
      </c>
      <c r="D85" s="135">
        <f ca="1">D84/D48</f>
        <v>5.9343303663558389E-2</v>
      </c>
      <c r="E85" s="136">
        <f ca="1">E84/E48</f>
        <v>3.5805020615570643E-2</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5" zoomScale="70" zoomScaleNormal="70" workbookViewId="0">
      <selection activeCell="C26" sqref="C26"/>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32.046511627906973</v>
      </c>
      <c r="C18" s="129">
        <f>'LEAP Region'!I26*1000</f>
        <v>875.93798449612416</v>
      </c>
      <c r="D18" s="129">
        <f>'LEAP Region'!J26*1000</f>
        <v>2542.3565891472872</v>
      </c>
      <c r="E18" s="130">
        <f>'LEAP Region'!K26*1000</f>
        <v>4924.4806201550391</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2.2541508765233509</v>
      </c>
      <c r="C20" s="129">
        <f>IF($F$22="adj",'1.Current Trans'!$O$13*C18/C19,C18/C19)</f>
        <v>67.214680681787215</v>
      </c>
      <c r="D20" s="129">
        <f>IF($F$22="adj",'1.Current Trans'!$O$13*D18/D19,D18/D19)</f>
        <v>214.5951634450231</v>
      </c>
      <c r="E20" s="130">
        <f>IF($F$22="adj",'1.Current Trans'!$O$13*E18/E19,E18/E19)</f>
        <v>461.85046847878453</v>
      </c>
      <c r="G20" s="281" t="s">
        <v>106</v>
      </c>
      <c r="H20" s="281"/>
      <c r="I20" s="281"/>
      <c r="J20" s="281"/>
      <c r="K20" s="281"/>
      <c r="L20" s="281"/>
      <c r="M20" s="281"/>
      <c r="N20" s="281"/>
    </row>
    <row r="21" spans="2:22" ht="54.75" customHeight="1" x14ac:dyDescent="0.25">
      <c r="B21" s="131">
        <f>'1.Current Trans'!B9+'1.Current Trans'!B32</f>
        <v>552</v>
      </c>
      <c r="C21" s="132">
        <f t="shared" ref="C21:E21" si="0">B21*1.125</f>
        <v>621</v>
      </c>
      <c r="D21" s="132">
        <f t="shared" si="0"/>
        <v>698.625</v>
      </c>
      <c r="E21" s="133">
        <f t="shared" si="0"/>
        <v>785.953125</v>
      </c>
      <c r="G21" s="281" t="s">
        <v>189</v>
      </c>
      <c r="H21" s="281"/>
      <c r="I21" s="281"/>
      <c r="J21" s="281"/>
      <c r="K21" s="281"/>
      <c r="L21" s="281"/>
      <c r="M21" s="281"/>
      <c r="N21" s="281"/>
      <c r="O21" s="186">
        <f>(E21/B21)^(1/(E17-B17))-1</f>
        <v>1.014682216717655E-2</v>
      </c>
    </row>
    <row r="22" spans="2:22" ht="54.75" customHeight="1" x14ac:dyDescent="0.25">
      <c r="B22" s="134">
        <f>B20/B21</f>
        <v>4.0836066603683894E-3</v>
      </c>
      <c r="C22" s="135">
        <f>C20/C21</f>
        <v>0.10823620077582483</v>
      </c>
      <c r="D22" s="135">
        <f>D20/D21</f>
        <v>0.30716788469496953</v>
      </c>
      <c r="E22" s="136">
        <f>E20/E21</f>
        <v>0.58763106066762505</v>
      </c>
      <c r="F22" s="54" t="s">
        <v>545</v>
      </c>
      <c r="G22" s="281" t="s">
        <v>191</v>
      </c>
      <c r="H22" s="281"/>
      <c r="I22" s="281"/>
      <c r="J22" s="281"/>
      <c r="K22" s="281"/>
      <c r="L22" s="281"/>
      <c r="M22" s="281"/>
      <c r="N22" s="281"/>
    </row>
    <row r="23" spans="2:22" ht="54.75" customHeight="1" x14ac:dyDescent="0.25">
      <c r="B23" s="166">
        <f>('LEAP Region'!H24+'LEAP Region'!H25+'LEAP Region'!H27+'LEAP Region'!H28)*1000</f>
        <v>36522.341085271328</v>
      </c>
      <c r="C23" s="167">
        <f>('LEAP Region'!I24+'LEAP Region'!I25+'LEAP Region'!I27+'LEAP Region'!I28)*1000</f>
        <v>26203.364341085271</v>
      </c>
      <c r="D23" s="167">
        <f>('LEAP Region'!J24+'LEAP Region'!J25+'LEAP Region'!J27+'LEAP Region'!J28)*1000</f>
        <v>14965.720930232559</v>
      </c>
      <c r="E23" s="168">
        <f>('LEAP Region'!K24+'LEAP Region'!K25+'LEAP Region'!K27+'LEAP Region'!K28)*1000</f>
        <v>2083.0232558139537</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0.52808334972847926</v>
      </c>
      <c r="G24" s="281" t="s">
        <v>192</v>
      </c>
      <c r="H24" s="281"/>
      <c r="I24" s="281"/>
      <c r="J24" s="281"/>
      <c r="K24" s="281"/>
      <c r="L24" s="281"/>
      <c r="M24" s="281"/>
      <c r="N24" s="28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544.8825263496044</v>
      </c>
      <c r="C26" s="129">
        <f>IF($F$22="adj",'1.Current Trans'!$O$13*C23/C25,C23/C25)</f>
        <v>457.17067138083297</v>
      </c>
      <c r="D26" s="129">
        <f>IF($F$22="adj",'1.Current Trans'!$O$13*D23/D25,D23/D25)</f>
        <v>314.37402394332395</v>
      </c>
      <c r="E26" s="130">
        <f>IF($F$22="adj",'1.Current Trans'!$O$13*E23/E25,E23/E25)</f>
        <v>54.970780758500666</v>
      </c>
      <c r="G26" s="281" t="s">
        <v>107</v>
      </c>
      <c r="H26" s="281"/>
      <c r="I26" s="281"/>
      <c r="J26" s="281"/>
      <c r="K26" s="281"/>
      <c r="L26" s="281"/>
      <c r="M26" s="281"/>
      <c r="N26" s="281"/>
    </row>
    <row r="27" spans="2:22" ht="54.75" customHeight="1" x14ac:dyDescent="0.25">
      <c r="B27" s="134">
        <f>B26/B21</f>
        <v>0.98710602599566011</v>
      </c>
      <c r="C27" s="135">
        <f>C26/C21</f>
        <v>0.7361846560077826</v>
      </c>
      <c r="D27" s="135">
        <f>D26/D21</f>
        <v>0.44998965674478292</v>
      </c>
      <c r="E27" s="136">
        <f>E26/E21</f>
        <v>6.994155123246143E-2</v>
      </c>
      <c r="G27" s="281" t="s">
        <v>108</v>
      </c>
      <c r="H27" s="281"/>
      <c r="I27" s="281"/>
      <c r="J27" s="281"/>
      <c r="K27" s="281"/>
      <c r="L27" s="281"/>
      <c r="M27" s="281"/>
      <c r="N27" s="281"/>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128186.04651162791</v>
      </c>
      <c r="C5" s="172">
        <f>'LEAP Region'!C49*1000000</f>
        <v>598201.55038759694</v>
      </c>
      <c r="D5" s="172">
        <f>'LEAP Region'!D49*1000000</f>
        <v>940031.00775193807</v>
      </c>
      <c r="E5" s="173">
        <f>'LEAP Region'!E49*1000000</f>
        <v>1378000</v>
      </c>
      <c r="G5" s="281" t="s">
        <v>186</v>
      </c>
      <c r="H5" s="281"/>
      <c r="I5" s="281"/>
      <c r="J5" s="281"/>
      <c r="K5" s="281"/>
      <c r="L5" s="281"/>
      <c r="M5" s="281"/>
      <c r="N5" s="281"/>
    </row>
    <row r="6" spans="2:14" s="126" customFormat="1" ht="45" customHeight="1" x14ac:dyDescent="0.2">
      <c r="B6" s="303">
        <v>400</v>
      </c>
      <c r="C6" s="304"/>
      <c r="D6" s="304"/>
      <c r="E6" s="305"/>
      <c r="G6" s="281" t="s">
        <v>475</v>
      </c>
      <c r="H6" s="281"/>
      <c r="I6" s="281"/>
      <c r="J6" s="281"/>
      <c r="K6" s="281"/>
      <c r="L6" s="281"/>
      <c r="M6" s="281"/>
      <c r="N6" s="281"/>
    </row>
    <row r="7" spans="2:14" s="126" customFormat="1" ht="45" customHeight="1" x14ac:dyDescent="0.2">
      <c r="B7" s="171">
        <f>B5/13/$B$6</f>
        <v>24.651162790697676</v>
      </c>
      <c r="C7" s="172">
        <f>C5/13/$B$6</f>
        <v>115.03875968992249</v>
      </c>
      <c r="D7" s="172">
        <f>D5/13/$B$6</f>
        <v>180.77519379844961</v>
      </c>
      <c r="E7" s="172">
        <f>E5/13/$B$6</f>
        <v>265</v>
      </c>
      <c r="G7" s="281" t="s">
        <v>185</v>
      </c>
      <c r="H7" s="281"/>
      <c r="I7" s="281"/>
      <c r="J7" s="281"/>
      <c r="K7" s="281"/>
      <c r="L7" s="281"/>
      <c r="M7" s="281"/>
      <c r="N7" s="281"/>
    </row>
    <row r="8" spans="2:14" s="126" customFormat="1" ht="45" customHeight="1" x14ac:dyDescent="0.2">
      <c r="B8" s="36">
        <f>'2.Heat Targets'!B31*1.5</f>
        <v>423</v>
      </c>
      <c r="C8" s="36">
        <f>'2.Heat Targets'!C31*1.5</f>
        <v>448.38</v>
      </c>
      <c r="D8" s="36">
        <f>'2.Heat Targets'!D31*1.5</f>
        <v>475.28280000000007</v>
      </c>
      <c r="E8" s="36">
        <f>'2.Heat Targets'!E31*1.5</f>
        <v>503.79976800000009</v>
      </c>
      <c r="G8" s="281" t="s">
        <v>187</v>
      </c>
      <c r="H8" s="281"/>
      <c r="I8" s="281"/>
      <c r="J8" s="281"/>
      <c r="K8" s="281"/>
      <c r="L8" s="281"/>
      <c r="M8" s="281"/>
      <c r="N8" s="281"/>
    </row>
    <row r="9" spans="2:14" s="126" customFormat="1" ht="45" customHeight="1" x14ac:dyDescent="0.2">
      <c r="B9" s="174">
        <f>B7/B8</f>
        <v>5.8276980592665902E-2</v>
      </c>
      <c r="C9" s="175">
        <f>C7/C8</f>
        <v>0.25656532336393795</v>
      </c>
      <c r="D9" s="175">
        <f>D7/D8</f>
        <v>0.38035290525651166</v>
      </c>
      <c r="E9" s="176">
        <f>E7/E8</f>
        <v>0.52600262412189114</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6"/>
      <c r="C17" s="306"/>
      <c r="D17" s="306"/>
      <c r="E17" s="306"/>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A12" zoomScale="70" zoomScaleNormal="70" workbookViewId="0">
      <selection activeCell="N51" sqref="N5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1.0999999999999999E-2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154</v>
      </c>
      <c r="O19" s="224">
        <f>I4*$R$16*1000</f>
        <v>549.99999999999989</v>
      </c>
      <c r="P19" s="224">
        <f>J4*$R$16*1000</f>
        <v>901.99999999999989</v>
      </c>
      <c r="Q19" s="224">
        <f>K4*$R$16*1000</f>
        <v>1397</v>
      </c>
    </row>
    <row r="20" spans="1:17" x14ac:dyDescent="0.25">
      <c r="B20" s="21"/>
      <c r="C20" s="21"/>
      <c r="D20" s="21"/>
      <c r="E20" s="21"/>
      <c r="H20" s="23"/>
      <c r="I20" s="23"/>
      <c r="J20" s="23"/>
      <c r="K20" s="23"/>
      <c r="L20" s="22"/>
      <c r="M20" s="222" t="s">
        <v>3</v>
      </c>
      <c r="N20" s="224">
        <f t="shared" ref="N20:N28" si="0">H5*$R$16*1000</f>
        <v>20448.999999999996</v>
      </c>
      <c r="O20" s="224">
        <f t="shared" ref="O20:O28" si="1">I5*$R$16*1000</f>
        <v>16169.999999999998</v>
      </c>
      <c r="P20" s="224">
        <f t="shared" ref="P20:P28" si="2">J5*$R$16*1000</f>
        <v>12408</v>
      </c>
      <c r="Q20" s="224">
        <f t="shared" ref="Q20:Q28" si="3">K5*$R$16*1000</f>
        <v>8250</v>
      </c>
    </row>
    <row r="21" spans="1:17" x14ac:dyDescent="0.25">
      <c r="L21" s="22"/>
      <c r="M21" s="222" t="s">
        <v>548</v>
      </c>
      <c r="N21" s="224">
        <f t="shared" si="0"/>
        <v>2276.9999999999995</v>
      </c>
      <c r="O21" s="224">
        <f t="shared" si="1"/>
        <v>2057</v>
      </c>
      <c r="P21" s="224">
        <f t="shared" si="2"/>
        <v>1122</v>
      </c>
      <c r="Q21" s="224">
        <f t="shared" si="3"/>
        <v>340.99999999999994</v>
      </c>
    </row>
    <row r="22" spans="1:17" ht="33.75" customHeight="1" x14ac:dyDescent="0.25">
      <c r="A22" s="231" t="s">
        <v>472</v>
      </c>
      <c r="B22" s="232"/>
      <c r="C22" s="232"/>
      <c r="D22" s="232"/>
      <c r="E22" s="233"/>
      <c r="G22" s="231" t="s">
        <v>473</v>
      </c>
      <c r="H22" s="232"/>
      <c r="I22" s="232"/>
      <c r="J22" s="232"/>
      <c r="K22" s="233"/>
      <c r="L22" s="22"/>
      <c r="M22" s="222" t="s">
        <v>5</v>
      </c>
      <c r="N22" s="224">
        <f t="shared" si="0"/>
        <v>253</v>
      </c>
      <c r="O22" s="224">
        <f t="shared" si="1"/>
        <v>1210</v>
      </c>
      <c r="P22" s="224">
        <f t="shared" si="2"/>
        <v>2474.9999999999995</v>
      </c>
      <c r="Q22" s="224">
        <f t="shared" si="3"/>
        <v>2969.9999999999995</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176</v>
      </c>
      <c r="O23" s="224">
        <f t="shared" si="1"/>
        <v>506</v>
      </c>
      <c r="P23" s="224">
        <f t="shared" si="2"/>
        <v>990</v>
      </c>
      <c r="Q23" s="224">
        <f t="shared" si="3"/>
        <v>1386</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1319.9999999999998</v>
      </c>
      <c r="O24" s="224">
        <f t="shared" si="1"/>
        <v>1529</v>
      </c>
      <c r="P24" s="224">
        <f t="shared" si="2"/>
        <v>1771</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7776.9999999999991</v>
      </c>
      <c r="O25" s="224">
        <f t="shared" si="1"/>
        <v>6082.9999999999991</v>
      </c>
      <c r="P25" s="224">
        <f t="shared" si="2"/>
        <v>3893.9999999999995</v>
      </c>
      <c r="Q25" s="224">
        <f t="shared" si="3"/>
        <v>1363.9999999999998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18634</v>
      </c>
      <c r="O27" s="224">
        <f t="shared" si="1"/>
        <v>12517.999999999998</v>
      </c>
      <c r="P27" s="224">
        <f t="shared" si="2"/>
        <v>6611</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3476</v>
      </c>
      <c r="O28" s="224">
        <f t="shared" si="1"/>
        <v>3882.9999999999995</v>
      </c>
      <c r="P28" s="224">
        <f t="shared" si="2"/>
        <v>3486.9999999999995</v>
      </c>
      <c r="Q28" s="224">
        <f t="shared" si="3"/>
        <v>3256</v>
      </c>
    </row>
    <row r="29" spans="1:17" x14ac:dyDescent="0.25">
      <c r="A29" s="6" t="s">
        <v>24</v>
      </c>
      <c r="B29" s="18">
        <v>0</v>
      </c>
      <c r="C29" s="18">
        <v>0</v>
      </c>
      <c r="D29" s="18">
        <v>0</v>
      </c>
      <c r="E29" s="19">
        <v>0</v>
      </c>
      <c r="G29" s="1" t="s">
        <v>24</v>
      </c>
      <c r="H29" s="4">
        <v>0</v>
      </c>
      <c r="I29" s="4">
        <v>0</v>
      </c>
      <c r="J29" s="4">
        <v>0</v>
      </c>
      <c r="K29" s="5">
        <v>0</v>
      </c>
      <c r="M29" s="222" t="s">
        <v>550</v>
      </c>
      <c r="N29" s="225">
        <f>(B14-H14)*$R$16*1000</f>
        <v>1440.9999999999998</v>
      </c>
      <c r="O29" s="225">
        <f t="shared" ref="O29:Q29" si="4">(C14-I14)*$R$16*1000</f>
        <v>2409</v>
      </c>
      <c r="P29" s="225">
        <f t="shared" si="4"/>
        <v>5104</v>
      </c>
      <c r="Q29" s="225">
        <f t="shared" si="4"/>
        <v>7491</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2E-3</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16</v>
      </c>
      <c r="O51" s="223">
        <f t="shared" ref="O51:Q57" si="5">U4*$Q$48*1000</f>
        <v>98</v>
      </c>
      <c r="P51" s="223">
        <f t="shared" si="5"/>
        <v>184</v>
      </c>
      <c r="Q51" s="223">
        <f t="shared" si="5"/>
        <v>328</v>
      </c>
    </row>
    <row r="52" spans="1:17" x14ac:dyDescent="0.25">
      <c r="M52" s="223" t="s">
        <v>14</v>
      </c>
      <c r="N52" s="223">
        <f t="shared" ref="N52:N57" si="6">T5*$Q$48*1000</f>
        <v>816.00000000000011</v>
      </c>
      <c r="O52" s="223">
        <f t="shared" si="5"/>
        <v>608</v>
      </c>
      <c r="P52" s="223">
        <f t="shared" si="5"/>
        <v>374</v>
      </c>
      <c r="Q52" s="223">
        <f t="shared" si="5"/>
        <v>2</v>
      </c>
    </row>
    <row r="53" spans="1:17" x14ac:dyDescent="0.25">
      <c r="M53" s="223" t="s">
        <v>15</v>
      </c>
      <c r="N53" s="223">
        <f t="shared" si="6"/>
        <v>1488</v>
      </c>
      <c r="O53" s="223">
        <f t="shared" si="5"/>
        <v>1474</v>
      </c>
      <c r="P53" s="223">
        <f t="shared" si="5"/>
        <v>1428</v>
      </c>
      <c r="Q53" s="223">
        <f t="shared" si="5"/>
        <v>1384.0000000000002</v>
      </c>
    </row>
    <row r="54" spans="1:17" x14ac:dyDescent="0.25">
      <c r="M54" s="223" t="s">
        <v>8</v>
      </c>
      <c r="N54" s="223">
        <f t="shared" si="6"/>
        <v>598</v>
      </c>
      <c r="O54" s="223">
        <f t="shared" si="5"/>
        <v>516</v>
      </c>
      <c r="P54" s="223">
        <f t="shared" si="5"/>
        <v>418</v>
      </c>
      <c r="Q54" s="223">
        <f t="shared" si="5"/>
        <v>266</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84</v>
      </c>
      <c r="O56" s="223">
        <f t="shared" si="5"/>
        <v>62</v>
      </c>
      <c r="P56" s="223">
        <f t="shared" si="5"/>
        <v>38</v>
      </c>
      <c r="Q56" s="223">
        <f t="shared" si="5"/>
        <v>0</v>
      </c>
    </row>
    <row r="57" spans="1:17" x14ac:dyDescent="0.25">
      <c r="M57" s="223" t="s">
        <v>17</v>
      </c>
      <c r="N57" s="223">
        <f t="shared" si="6"/>
        <v>282</v>
      </c>
      <c r="O57" s="223">
        <f t="shared" si="5"/>
        <v>386</v>
      </c>
      <c r="P57" s="223">
        <f t="shared" si="5"/>
        <v>488</v>
      </c>
      <c r="Q57" s="223">
        <f t="shared" si="5"/>
        <v>664</v>
      </c>
    </row>
    <row r="58" spans="1:17" x14ac:dyDescent="0.25">
      <c r="M58" s="223" t="s">
        <v>550</v>
      </c>
      <c r="N58" s="223">
        <f>(N11-T11)*$Q$48*1000</f>
        <v>28</v>
      </c>
      <c r="O58" s="223">
        <f>(O11-U11)*$Q$48*1000</f>
        <v>174.00000000000003</v>
      </c>
      <c r="P58" s="223">
        <f t="shared" ref="P58:Q58" si="7">(P11-V11)*$Q$48*1000</f>
        <v>330</v>
      </c>
      <c r="Q58" s="223">
        <f t="shared" si="7"/>
        <v>586</v>
      </c>
    </row>
    <row r="60" spans="1:17" ht="15.75" thickBot="1" x14ac:dyDescent="0.3"/>
    <row r="61" spans="1:17" ht="15.75" thickBot="1" x14ac:dyDescent="0.3">
      <c r="N61" t="s">
        <v>572</v>
      </c>
      <c r="Q61" s="229">
        <v>1.0999999999999999E-2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32153</v>
      </c>
      <c r="O64" s="223">
        <f t="shared" ref="O64:Q68" si="8">I24*$Q$61*1000</f>
        <v>23034</v>
      </c>
      <c r="P64" s="223">
        <f t="shared" si="8"/>
        <v>12825.999999999998</v>
      </c>
      <c r="Q64" s="223">
        <f t="shared" si="8"/>
        <v>1000.9999999999999</v>
      </c>
    </row>
    <row r="65" spans="13:17" x14ac:dyDescent="0.25">
      <c r="M65" s="223" t="s">
        <v>22</v>
      </c>
      <c r="N65" s="223">
        <f t="shared" ref="N65:N68" si="9">H25*$Q$61*1000</f>
        <v>4290</v>
      </c>
      <c r="O65" s="223">
        <f t="shared" si="8"/>
        <v>2860</v>
      </c>
      <c r="P65" s="223">
        <f t="shared" si="8"/>
        <v>1551</v>
      </c>
      <c r="Q65" s="223">
        <f t="shared" si="8"/>
        <v>176</v>
      </c>
    </row>
    <row r="66" spans="13:17" x14ac:dyDescent="0.25">
      <c r="M66" s="223" t="s">
        <v>23</v>
      </c>
      <c r="N66" s="223">
        <f t="shared" si="9"/>
        <v>33</v>
      </c>
      <c r="O66" s="223">
        <f t="shared" si="8"/>
        <v>901.99999999999989</v>
      </c>
      <c r="P66" s="223">
        <f t="shared" si="8"/>
        <v>2618</v>
      </c>
      <c r="Q66" s="223">
        <f t="shared" si="8"/>
        <v>5071</v>
      </c>
    </row>
    <row r="67" spans="13:17" x14ac:dyDescent="0.25">
      <c r="M67" s="223" t="s">
        <v>20</v>
      </c>
      <c r="N67" s="223">
        <f t="shared" si="9"/>
        <v>1077.9999999999998</v>
      </c>
      <c r="O67" s="223">
        <f t="shared" si="8"/>
        <v>670.99999999999989</v>
      </c>
      <c r="P67" s="223">
        <f t="shared" si="8"/>
        <v>363</v>
      </c>
      <c r="Q67" s="223">
        <f t="shared" si="8"/>
        <v>11</v>
      </c>
    </row>
    <row r="68" spans="13:17" x14ac:dyDescent="0.25">
      <c r="M68" s="223" t="s">
        <v>18</v>
      </c>
      <c r="N68" s="223">
        <f t="shared" si="9"/>
        <v>88</v>
      </c>
      <c r="O68" s="223">
        <f t="shared" si="8"/>
        <v>418</v>
      </c>
      <c r="P68" s="223">
        <f t="shared" si="8"/>
        <v>670.99999999999989</v>
      </c>
      <c r="Q68" s="223">
        <f t="shared" si="8"/>
        <v>957</v>
      </c>
    </row>
    <row r="69" spans="13:17" x14ac:dyDescent="0.25">
      <c r="M69" s="230" t="s">
        <v>550</v>
      </c>
      <c r="O69">
        <f t="shared" ref="O69:Q69" si="10">(C30-I30)*$Q$61*1000</f>
        <v>2904</v>
      </c>
      <c r="P69">
        <f t="shared" si="10"/>
        <v>8404</v>
      </c>
      <c r="Q69">
        <f t="shared" si="10"/>
        <v>15202</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2017-04-28T23:13:09Z</dcterms:modified>
</cp:coreProperties>
</file>