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Lyndon\"/>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G17" i="201"/>
  <c r="D17" i="201"/>
  <c r="D16" i="201"/>
  <c r="D15" i="201"/>
  <c r="G15" i="201" s="1"/>
  <c r="G14" i="201"/>
  <c r="D14" i="201"/>
  <c r="D13" i="201"/>
  <c r="G13" i="201" s="1"/>
  <c r="D12" i="201"/>
  <c r="D11" i="201"/>
  <c r="G11" i="201" s="1"/>
  <c r="D10" i="201"/>
  <c r="G9" i="201"/>
  <c r="D9" i="201"/>
  <c r="D8" i="201"/>
  <c r="E5" i="201"/>
  <c r="E4" i="201"/>
  <c r="D3" i="201"/>
  <c r="C3" i="201"/>
  <c r="B3" i="201"/>
  <c r="G10" i="201" l="1"/>
  <c r="E26" i="201"/>
  <c r="H26" i="201" s="1"/>
  <c r="E3" i="201"/>
  <c r="E17" i="201" s="1"/>
  <c r="G8" i="201"/>
  <c r="E8" i="201"/>
  <c r="E56" i="201"/>
  <c r="E54" i="201"/>
  <c r="H54" i="201" s="1"/>
  <c r="E52" i="201"/>
  <c r="H52" i="201" s="1"/>
  <c r="E50" i="201"/>
  <c r="H50" i="201" s="1"/>
  <c r="E48" i="201"/>
  <c r="E46" i="201"/>
  <c r="E44" i="201"/>
  <c r="H44" i="201" s="1"/>
  <c r="E42" i="201"/>
  <c r="H42" i="201" s="1"/>
  <c r="E13" i="201"/>
  <c r="H13" i="201" s="1"/>
  <c r="G20" i="201"/>
  <c r="H20" i="201" s="1"/>
  <c r="E20" i="201"/>
  <c r="E22" i="201"/>
  <c r="E24" i="201"/>
  <c r="H24" i="201" s="1"/>
  <c r="E32" i="201"/>
  <c r="E40" i="201"/>
  <c r="E9" i="201"/>
  <c r="H9" i="201" s="1"/>
  <c r="G16" i="201"/>
  <c r="H16" i="201" s="1"/>
  <c r="E16" i="201"/>
  <c r="E18" i="201"/>
  <c r="H18" i="201" s="1"/>
  <c r="H22" i="201"/>
  <c r="E30" i="201"/>
  <c r="E38" i="201"/>
  <c r="G12" i="201"/>
  <c r="E12" i="201"/>
  <c r="E14" i="201"/>
  <c r="H14" i="201" s="1"/>
  <c r="E21" i="201"/>
  <c r="H21" i="201" s="1"/>
  <c r="E28" i="201"/>
  <c r="H28" i="201" s="1"/>
  <c r="E36" i="201"/>
  <c r="H36" i="201" s="1"/>
  <c r="H17" i="201"/>
  <c r="H27" i="201"/>
  <c r="H43" i="201"/>
  <c r="E11" i="201"/>
  <c r="H11" i="201" s="1"/>
  <c r="E15" i="201"/>
  <c r="H15" i="201" s="1"/>
  <c r="E19" i="201"/>
  <c r="H19" i="201" s="1"/>
  <c r="E23" i="201"/>
  <c r="H23" i="201" s="1"/>
  <c r="E25" i="201"/>
  <c r="H25" i="201" s="1"/>
  <c r="E27" i="201"/>
  <c r="E29" i="201"/>
  <c r="H29" i="201" s="1"/>
  <c r="E31" i="201"/>
  <c r="H31" i="201" s="1"/>
  <c r="E33" i="201"/>
  <c r="H33" i="201" s="1"/>
  <c r="E35" i="201"/>
  <c r="H35" i="201" s="1"/>
  <c r="E37" i="201"/>
  <c r="H37" i="201" s="1"/>
  <c r="E39" i="201"/>
  <c r="H39" i="201" s="1"/>
  <c r="E41" i="201"/>
  <c r="H41" i="201" s="1"/>
  <c r="E43" i="201"/>
  <c r="E45" i="201"/>
  <c r="H45" i="201" s="1"/>
  <c r="E47" i="201"/>
  <c r="H47" i="201" s="1"/>
  <c r="E49" i="201"/>
  <c r="H49" i="201" s="1"/>
  <c r="E51" i="201"/>
  <c r="H51" i="201" s="1"/>
  <c r="E53" i="201"/>
  <c r="H53" i="201" s="1"/>
  <c r="E55" i="201"/>
  <c r="H55" i="201" s="1"/>
  <c r="E57" i="201"/>
  <c r="H57" i="201" s="1"/>
  <c r="H30" i="201"/>
  <c r="H32" i="201"/>
  <c r="H38" i="201"/>
  <c r="H40" i="201"/>
  <c r="H46" i="201"/>
  <c r="H48" i="201"/>
  <c r="H56" i="201"/>
  <c r="E34" i="201" l="1"/>
  <c r="H34" i="201" s="1"/>
  <c r="E10" i="201"/>
  <c r="H10" i="201" s="1"/>
  <c r="H12" i="20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145" i="197"/>
  <c r="AD181" i="197"/>
  <c r="U245"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X237" i="197" s="1"/>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R140" i="197" l="1"/>
  <c r="AB244" i="197"/>
  <c r="Y232" i="197"/>
  <c r="AD220" i="197"/>
  <c r="V212" i="197"/>
  <c r="Y200" i="197"/>
  <c r="AD188" i="197"/>
  <c r="AE180" i="197"/>
  <c r="AB172" i="197"/>
  <c r="AA156" i="197"/>
  <c r="W144" i="197"/>
  <c r="AA124" i="197"/>
  <c r="T96" i="197"/>
  <c r="V240" i="197"/>
  <c r="Y224" i="197"/>
  <c r="AD212" i="197"/>
  <c r="V204" i="197"/>
  <c r="Y192" i="197"/>
  <c r="T176" i="197"/>
  <c r="X160" i="197"/>
  <c r="X128" i="197"/>
  <c r="AB112" i="197"/>
  <c r="R124" i="197"/>
  <c r="AC248" i="197"/>
  <c r="V244" i="197"/>
  <c r="AD236" i="197"/>
  <c r="AD228" i="197"/>
  <c r="V220" i="197"/>
  <c r="Y208" i="197"/>
  <c r="AD196" i="197"/>
  <c r="V188" i="197"/>
  <c r="T180" i="197"/>
  <c r="AB168" i="197"/>
  <c r="AB140" i="197"/>
  <c r="AE120" i="197"/>
  <c r="AA88" i="197"/>
  <c r="T236"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35" i="186"/>
  <c r="F29" i="186"/>
  <c r="F28" i="186"/>
  <c r="E41" i="186"/>
  <c r="F38" i="186" s="1"/>
  <c r="F27" i="186" l="1"/>
  <c r="F33" i="186"/>
  <c r="F40" i="186"/>
  <c r="F32" i="186"/>
  <c r="F39"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82" i="194" l="1"/>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<sst xmlns="http://schemas.openxmlformats.org/spreadsheetml/2006/main" count="1627" uniqueCount="563">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</sst>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0.8191417687648278</v>
      </c>
      <c r="I4" s="4">
        <f>res_share_state_target*'LEAP Statewide'!I4</f>
        <v>4.9529502297408197</v>
      </c>
      <c r="J4" s="4">
        <f>res_share_state_target*'LEAP Statewide'!J4</f>
        <v>9.3439311064918158</v>
      </c>
      <c r="K4" s="5">
        <f>res_share_state_target*'LEAP Statewide'!K4</f>
        <v>17.201977144061384</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0.37596824965445452</v>
      </c>
      <c r="U4" s="4">
        <f ca="1">com_share_state_target*'LEAP Statewide'!U4</f>
        <v>2.3507141046356188</v>
      </c>
      <c r="V4" s="4">
        <f ca="1">com_share_state_target*'LEAP Statewide'!V4</f>
        <v>4.4103265790776183</v>
      </c>
      <c r="W4" s="5">
        <f ca="1">com_share_state_target*'LEAP Statewide'!W4</f>
        <v>7.8424056736174323</v>
      </c>
      <c r="Y4" s="23"/>
    </row>
    <row r="5" spans="1:25" x14ac:dyDescent="0.25">
      <c r="A5" s="1" t="s">
        <v>3</v>
      </c>
      <c r="B5" s="4">
        <f>res_share_state_target*'LEAP Statewide'!B5</f>
        <v>72.189249598472443</v>
      </c>
      <c r="C5" s="4">
        <f>res_share_state_target*'LEAP Statewide'!C5</f>
        <v>66.502881738558457</v>
      </c>
      <c r="D5" s="4">
        <f>res_share_state_target*'LEAP Statewide'!D5</f>
        <v>61.883303158896354</v>
      </c>
      <c r="E5" s="5">
        <f>res_share_state_target*'LEAP Statewide'!E5</f>
        <v>56.044536830374966</v>
      </c>
      <c r="G5" s="1" t="s">
        <v>3</v>
      </c>
      <c r="H5" s="4">
        <f>res_share_state_target*'LEAP Statewide'!H5</f>
        <v>72.408322397095588</v>
      </c>
      <c r="I5" s="4">
        <f>res_share_state_target*'LEAP Statewide'!I5</f>
        <v>67.969716998904786</v>
      </c>
      <c r="J5" s="4">
        <f>res_share_state_target*'LEAP Statewide'!J5</f>
        <v>63.454912366410269</v>
      </c>
      <c r="K5" s="5">
        <f>res_share_state_target*'LEAP Statewide'!K5</f>
        <v>60.425992802837996</v>
      </c>
      <c r="L5" s="21"/>
      <c r="M5" s="1" t="s">
        <v>14</v>
      </c>
      <c r="N5" s="4">
        <f ca="1">com_share_state_target*'LEAP Statewide'!N5</f>
        <v>35.35196599906206</v>
      </c>
      <c r="O5" s="4">
        <f ca="1">com_share_state_target*'LEAP Statewide'!O5</f>
        <v>28.56263644219521</v>
      </c>
      <c r="P5" s="4">
        <f ca="1">com_share_state_target*'LEAP Statewide'!P5</f>
        <v>20.742131831664445</v>
      </c>
      <c r="Q5" s="5">
        <f ca="1">com_share_state_target*'LEAP Statewide'!Q5</f>
        <v>8.4684110601780045</v>
      </c>
      <c r="R5" s="2"/>
      <c r="S5" s="1" t="s">
        <v>14</v>
      </c>
      <c r="T5" s="4">
        <f ca="1">com_share_state_target*'LEAP Statewide'!T5</f>
        <v>34.964134673568992</v>
      </c>
      <c r="U5" s="4">
        <f ca="1">com_share_state_target*'LEAP Statewide'!U5</f>
        <v>26.152606958366537</v>
      </c>
      <c r="V5" s="4">
        <f ca="1">com_share_state_target*'LEAP Statewide'!V5</f>
        <v>16.218649759972379</v>
      </c>
      <c r="W5" s="5">
        <f ca="1">com_share_state_target*'LEAP Statewide'!W5</f>
        <v>0.42342055300890025</v>
      </c>
      <c r="Y5" s="92"/>
    </row>
    <row r="6" spans="1:25" x14ac:dyDescent="0.25">
      <c r="A6" s="1" t="s">
        <v>4</v>
      </c>
      <c r="B6" s="4">
        <f>res_share_state_target*'LEAP Statewide'!B6</f>
        <v>10.953639931157582</v>
      </c>
      <c r="C6" s="4">
        <f>res_share_state_target*'LEAP Statewide'!C6</f>
        <v>8.8772107963816218</v>
      </c>
      <c r="D6" s="4">
        <f>res_share_state_target*'LEAP Statewide'!D6</f>
        <v>6.0483142228565772</v>
      </c>
      <c r="E6" s="5">
        <f>res_share_state_target*'LEAP Statewide'!E6</f>
        <v>2.3907509762787416</v>
      </c>
      <c r="G6" s="1" t="s">
        <v>4</v>
      </c>
      <c r="H6" s="4">
        <f>res_share_state_target*'LEAP Statewide'!H6</f>
        <v>11.020314261173324</v>
      </c>
      <c r="I6" s="4">
        <f>res_share_state_target*'LEAP Statewide'!I6</f>
        <v>9.0486590735649592</v>
      </c>
      <c r="J6" s="4">
        <f>res_share_state_target*'LEAP Statewide'!J6</f>
        <v>5.2672720712436023</v>
      </c>
      <c r="K6" s="5">
        <f>res_share_state_target*'LEAP Statewide'!K6</f>
        <v>1.7049578675453974</v>
      </c>
      <c r="L6" s="21"/>
      <c r="M6" s="1" t="s">
        <v>15</v>
      </c>
      <c r="N6" s="89">
        <f ca="1">com_share_state_target*'LEAP Statewide'!N6</f>
        <v>64.954902937873968</v>
      </c>
      <c r="O6" s="89">
        <f ca="1">com_share_state_target*'LEAP Statewide'!O6</f>
        <v>65.630185716379543</v>
      </c>
      <c r="P6" s="89">
        <f ca="1">com_share_state_target*'LEAP Statewide'!P6</f>
        <v>65.018781038543409</v>
      </c>
      <c r="Q6" s="90">
        <f ca="1">com_share_state_target*'LEAP Statewide'!Q6</f>
        <v>65.319920655985086</v>
      </c>
      <c r="R6" s="4"/>
      <c r="S6" s="1" t="s">
        <v>15</v>
      </c>
      <c r="T6" s="89">
        <f ca="1">com_share_state_target*'LEAP Statewide'!T6</f>
        <v>64.953990393578678</v>
      </c>
      <c r="U6" s="89">
        <f ca="1">com_share_state_target*'LEAP Statewide'!U6</f>
        <v>65.627448083493704</v>
      </c>
      <c r="V6" s="89">
        <f ca="1">com_share_state_target*'LEAP Statewide'!V6</f>
        <v>65.015130861362294</v>
      </c>
      <c r="W6" s="90">
        <f ca="1">com_share_state_target*'LEAP Statewide'!W6</f>
        <v>65.323570833166187</v>
      </c>
      <c r="Y6" s="92"/>
    </row>
    <row r="7" spans="1:25" x14ac:dyDescent="0.25">
      <c r="A7" s="1" t="s">
        <v>5</v>
      </c>
      <c r="B7" s="4">
        <f>res_share_state_target*'LEAP Statewide'!B7</f>
        <v>1.1048888974037212</v>
      </c>
      <c r="C7" s="4">
        <f>res_share_state_target*'LEAP Statewide'!C7</f>
        <v>6.2197625000399137</v>
      </c>
      <c r="D7" s="4">
        <f>res_share_state_target*'LEAP Statewide'!D7</f>
        <v>11.725157178482593</v>
      </c>
      <c r="E7" s="5">
        <f>res_share_state_target*'LEAP Statewide'!E7</f>
        <v>16.173287480961367</v>
      </c>
      <c r="G7" s="1" t="s">
        <v>5</v>
      </c>
      <c r="H7" s="4">
        <f>res_share_state_target*'LEAP Statewide'!H7</f>
        <v>1.9335555704565122</v>
      </c>
      <c r="I7" s="4">
        <f>res_share_state_target*'LEAP Statewide'!I7</f>
        <v>10.829816175414061</v>
      </c>
      <c r="J7" s="4">
        <f>res_share_state_target*'LEAP Statewide'!J7</f>
        <v>20.916689816366997</v>
      </c>
      <c r="K7" s="5">
        <f>res_share_state_target*'LEAP Statewide'!K7</f>
        <v>28.81283547108842</v>
      </c>
      <c r="M7" s="1" t="s">
        <v>8</v>
      </c>
      <c r="N7" s="4">
        <f ca="1">com_share_state_target*'LEAP Statewide'!N7</f>
        <v>26.436408234197931</v>
      </c>
      <c r="O7" s="4">
        <f ca="1">com_share_state_target*'LEAP Statewide'!O7</f>
        <v>27.148192784514617</v>
      </c>
      <c r="P7" s="4">
        <f ca="1">com_share_state_target*'LEAP Statewide'!P7</f>
        <v>27.348952529475731</v>
      </c>
      <c r="Q7" s="5">
        <f ca="1">com_share_state_target*'LEAP Statewide'!Q7</f>
        <v>28.234120495895201</v>
      </c>
      <c r="R7" s="4"/>
      <c r="S7" s="1" t="s">
        <v>8</v>
      </c>
      <c r="T7" s="4">
        <f ca="1">com_share_state_target*'LEAP Statewide'!T7</f>
        <v>25.689034456365409</v>
      </c>
      <c r="U7" s="4">
        <f ca="1">com_share_state_target*'LEAP Statewide'!U7</f>
        <v>22.4458520309481</v>
      </c>
      <c r="V7" s="4">
        <f ca="1">com_share_state_target*'LEAP Statewide'!V7</f>
        <v>18.53012445991105</v>
      </c>
      <c r="W7" s="5">
        <f ca="1">com_share_state_target*'LEAP Statewide'!W7</f>
        <v>12.547484060069781</v>
      </c>
      <c r="Y7" s="92"/>
    </row>
    <row r="8" spans="1:25" x14ac:dyDescent="0.25">
      <c r="A8" s="1" t="s">
        <v>6</v>
      </c>
      <c r="B8" s="4">
        <f>res_share_state_target*'LEAP Statewide'!B8</f>
        <v>0.12382375574352049</v>
      </c>
      <c r="C8" s="4">
        <f>res_share_state_target*'LEAP Statewide'!C8</f>
        <v>0.91439081164445901</v>
      </c>
      <c r="D8" s="4">
        <f>res_share_state_target*'LEAP Statewide'!D8</f>
        <v>3.1146437021639382</v>
      </c>
      <c r="E8" s="5">
        <f>res_share_state_target*'LEAP Statewide'!E8</f>
        <v>6.4674100115269546</v>
      </c>
      <c r="G8" s="1" t="s">
        <v>6</v>
      </c>
      <c r="H8" s="4">
        <f>res_share_state_target*'LEAP Statewide'!H8</f>
        <v>0.53339464012593441</v>
      </c>
      <c r="I8" s="4">
        <f>res_share_state_target*'LEAP Statewide'!I8</f>
        <v>3.3146666922111638</v>
      </c>
      <c r="J8" s="4">
        <f>res_share_state_target*'LEAP Statewide'!J8</f>
        <v>7.2103525459880773</v>
      </c>
      <c r="K8" s="5">
        <f>res_share_state_target*'LEAP Statewide'!K8</f>
        <v>11.963279785681671</v>
      </c>
      <c r="M8" s="1" t="s">
        <v>9</v>
      </c>
      <c r="N8" s="4">
        <f ca="1">com_share_state_target*'LEAP Statewide'!N8</f>
        <v>25.46911128120346</v>
      </c>
      <c r="O8" s="4">
        <f ca="1">com_share_state_target*'LEAP Statewide'!O8</f>
        <v>30.935251609917497</v>
      </c>
      <c r="P8" s="4">
        <f ca="1">com_share_state_target*'LEAP Statewide'!P8</f>
        <v>36.145879535953746</v>
      </c>
      <c r="Q8" s="5">
        <f ca="1">com_share_state_target*'LEAP Statewide'!Q8</f>
        <v>45.326075146448439</v>
      </c>
      <c r="R8" s="4"/>
      <c r="S8" s="1" t="s">
        <v>9</v>
      </c>
      <c r="T8" s="4">
        <f ca="1">com_share_state_target*'LEAP Statewide'!T8</f>
        <v>23.615733817494245</v>
      </c>
      <c r="U8" s="4">
        <f ca="1">com_share_state_target*'LEAP Statewide'!U8</f>
        <v>19.348676692775243</v>
      </c>
      <c r="V8" s="4">
        <f ca="1">com_share_state_target*'LEAP Statewide'!V8</f>
        <v>14.402686612369552</v>
      </c>
      <c r="W8" s="5">
        <f ca="1">com_share_state_target*'LEAP Statewide'!W8</f>
        <v>6.6652235327090672</v>
      </c>
      <c r="Y8" s="23"/>
    </row>
    <row r="9" spans="1:25" x14ac:dyDescent="0.25">
      <c r="A9" s="1" t="s">
        <v>7</v>
      </c>
      <c r="B9" s="4">
        <f>res_share_state_target*'LEAP Statewide'!B9</f>
        <v>9.2677318721881097</v>
      </c>
      <c r="C9" s="4">
        <f>res_share_state_target*'LEAP Statewide'!C9</f>
        <v>7.4389502488991921</v>
      </c>
      <c r="D9" s="4">
        <f>res_share_state_target*'LEAP Statewide'!D9</f>
        <v>5.6768429556260163</v>
      </c>
      <c r="E9" s="5">
        <f>res_share_state_target*'LEAP Statewide'!E9</f>
        <v>2.8098467649491186</v>
      </c>
      <c r="G9" s="1" t="s">
        <v>7</v>
      </c>
      <c r="H9" s="4">
        <f>res_share_state_target*'LEAP Statewide'!H9</f>
        <v>9.096283595004774</v>
      </c>
      <c r="I9" s="4">
        <f>res_share_state_target*'LEAP Statewide'!I9</f>
        <v>6.5531341501186224</v>
      </c>
      <c r="J9" s="4">
        <f>res_share_state_target*'LEAP Statewide'!J9</f>
        <v>4.06713413096025</v>
      </c>
      <c r="K9" s="5">
        <f>res_share_state_target*'LEAP Statewide'!K9</f>
        <v>0</v>
      </c>
      <c r="L9" s="21"/>
      <c r="M9" s="1" t="s">
        <v>16</v>
      </c>
      <c r="N9" s="4">
        <f ca="1">com_share_state_target*'LEAP Statewide'!N9</f>
        <v>3.5862990804417629</v>
      </c>
      <c r="O9" s="4">
        <f ca="1">com_share_state_target*'LEAP Statewide'!O9</f>
        <v>2.6737547851639607</v>
      </c>
      <c r="P9" s="4">
        <f ca="1">com_share_state_target*'LEAP Statewide'!P9</f>
        <v>1.6425797315000441</v>
      </c>
      <c r="Q9" s="5">
        <f ca="1">com_share_state_target*'LEAP Statewide'!Q9</f>
        <v>0</v>
      </c>
      <c r="R9" s="2"/>
      <c r="S9" s="1" t="s">
        <v>16</v>
      </c>
      <c r="T9" s="4">
        <f ca="1">com_share_state_target*'LEAP Statewide'!T9</f>
        <v>3.5835614475559292</v>
      </c>
      <c r="U9" s="4">
        <f ca="1">com_share_state_target*'LEAP Statewide'!U9</f>
        <v>2.6691920636875714</v>
      </c>
      <c r="V9" s="4">
        <f ca="1">com_share_state_target*'LEAP Statewide'!V9</f>
        <v>1.6389295543189328</v>
      </c>
      <c r="W9" s="5">
        <f ca="1">com_share_state_target*'LEAP Statewide'!W9</f>
        <v>0</v>
      </c>
      <c r="Y9" s="23"/>
    </row>
    <row r="10" spans="1:25" x14ac:dyDescent="0.25">
      <c r="A10" s="1" t="s">
        <v>8</v>
      </c>
      <c r="B10" s="4">
        <f>res_share_state_target*'LEAP Statewide'!B10</f>
        <v>53.463287768336961</v>
      </c>
      <c r="C10" s="4">
        <f>res_share_state_target*'LEAP Statewide'!C10</f>
        <v>42.833494582970125</v>
      </c>
      <c r="D10" s="4">
        <f>res_share_state_target*'LEAP Statewide'!D10</f>
        <v>31.641732044613466</v>
      </c>
      <c r="E10" s="5">
        <f>res_share_state_target*'LEAP Statewide'!E10</f>
        <v>11.420360241267774</v>
      </c>
      <c r="G10" s="1" t="s">
        <v>8</v>
      </c>
      <c r="H10" s="4">
        <f>res_share_state_target*'LEAP Statewide'!H10</f>
        <v>52.834644085331391</v>
      </c>
      <c r="I10" s="4">
        <f>res_share_state_target*'LEAP Statewide'!I10</f>
        <v>40.366544372387679</v>
      </c>
      <c r="J10" s="4">
        <f>res_share_state_target*'LEAP Statewide'!J10</f>
        <v>28.250866118098596</v>
      </c>
      <c r="K10" s="5">
        <f>res_share_state_target*'LEAP Statewide'!K10</f>
        <v>9.5344291922510767</v>
      </c>
      <c r="L10" s="21"/>
      <c r="M10" s="1" t="s">
        <v>17</v>
      </c>
      <c r="N10" s="4">
        <f ca="1">com_share_state_target*'LEAP Statewide'!N10</f>
        <v>11.415929133925307</v>
      </c>
      <c r="O10" s="4">
        <f ca="1">com_share_state_target*'LEAP Statewide'!O10</f>
        <v>12.145964570147548</v>
      </c>
      <c r="P10" s="4">
        <f ca="1">com_share_state_target*'LEAP Statewide'!P10</f>
        <v>12.684365704361451</v>
      </c>
      <c r="Q10" s="5">
        <f ca="1">com_share_state_target*'LEAP Statewide'!Q10</f>
        <v>13.79766974460037</v>
      </c>
      <c r="R10" s="4"/>
      <c r="S10" s="1" t="s">
        <v>17</v>
      </c>
      <c r="T10" s="4">
        <f ca="1">com_share_state_target*'LEAP Statewide'!T10</f>
        <v>12.255469885580885</v>
      </c>
      <c r="U10" s="4">
        <f ca="1">com_share_state_target*'LEAP Statewide'!U10</f>
        <v>17.411345153900466</v>
      </c>
      <c r="V10" s="4">
        <f ca="1">com_share_state_target*'LEAP Statewide'!V10</f>
        <v>22.559920067857824</v>
      </c>
      <c r="W10" s="5">
        <f ca="1">com_share_state_target*'LEAP Statewide'!W10</f>
        <v>31.367797605879176</v>
      </c>
      <c r="Y10" s="23"/>
    </row>
    <row r="11" spans="1:25" x14ac:dyDescent="0.25">
      <c r="A11" s="1" t="s">
        <v>9</v>
      </c>
      <c r="B11" s="4">
        <f>res_share_state_target*'LEAP Statewide'!B11</f>
        <v>46.157686179469252</v>
      </c>
      <c r="C11" s="4">
        <f>res_share_state_target*'LEAP Statewide'!C11</f>
        <v>59.911647971287991</v>
      </c>
      <c r="D11" s="4">
        <f>res_share_state_target*'LEAP Statewide'!D11</f>
        <v>76.999326263893821</v>
      </c>
      <c r="E11" s="5">
        <f>res_share_state_target*'LEAP Statewide'!E11</f>
        <v>112.77486676948327</v>
      </c>
      <c r="G11" s="1" t="s">
        <v>9</v>
      </c>
      <c r="H11" s="4">
        <f>res_share_state_target*'LEAP Statewide'!H11</f>
        <v>42.033402622781225</v>
      </c>
      <c r="I11" s="4">
        <f>res_share_state_target*'LEAP Statewide'!I11</f>
        <v>33.432414050750531</v>
      </c>
      <c r="J11" s="4">
        <f>res_share_state_target*'LEAP Statewide'!J11</f>
        <v>18.640237691543813</v>
      </c>
      <c r="K11" s="5">
        <f>res_share_state_target*'LEAP Statewide'!K11</f>
        <v>2.3145517419750368</v>
      </c>
      <c r="L11" s="21"/>
      <c r="M11" s="7" t="s">
        <v>12</v>
      </c>
      <c r="N11" s="8">
        <f ca="1">SUM(N4:N10)</f>
        <v>167.2146166667045</v>
      </c>
      <c r="O11" s="8">
        <f ca="1">SUM(O4:O10)</f>
        <v>167.0959859083184</v>
      </c>
      <c r="P11" s="8">
        <f ca="1">SUM(P4:P10)</f>
        <v>163.58269037149881</v>
      </c>
      <c r="Q11" s="9">
        <f ca="1">SUM(Q4:Q10)</f>
        <v>161.14619710310708</v>
      </c>
      <c r="R11" s="4"/>
      <c r="S11" s="7" t="s">
        <v>12</v>
      </c>
      <c r="T11" s="8">
        <f ca="1">SUM(T4:T10)</f>
        <v>165.43789292379859</v>
      </c>
      <c r="U11" s="8">
        <f ca="1">SUM(U4:U10)</f>
        <v>156.00583508780724</v>
      </c>
      <c r="V11" s="8">
        <f ca="1">SUM(V4:V10)</f>
        <v>142.77576789486966</v>
      </c>
      <c r="W11" s="9">
        <f ca="1">SUM(W4:W10)</f>
        <v>124.16990225845053</v>
      </c>
    </row>
    <row r="12" spans="1:25" x14ac:dyDescent="0.25">
      <c r="A12" s="1" t="s">
        <v>10</v>
      </c>
      <c r="B12" s="4">
        <f>res_share_state_target*'LEAP Statewide'!B12</f>
        <v>98.858981604769156</v>
      </c>
      <c r="C12" s="4">
        <f>res_share_state_target*'LEAP Statewide'!C12</f>
        <v>77.666069564051227</v>
      </c>
      <c r="D12" s="4">
        <f>res_share_state_target*'LEAP Statewide'!D12</f>
        <v>51.196360547801739</v>
      </c>
      <c r="E12" s="5">
        <f>res_share_state_target*'LEAP Statewide'!E12</f>
        <v>13.706337270378921</v>
      </c>
      <c r="G12" s="1" t="s">
        <v>10</v>
      </c>
      <c r="H12" s="4">
        <f>res_share_state_target*'LEAP Statewide'!H12</f>
        <v>96.92542603431265</v>
      </c>
      <c r="I12" s="4">
        <f>res_share_state_target*'LEAP Statewide'!I12</f>
        <v>69.45560206782703</v>
      </c>
      <c r="J12" s="4">
        <f>res_share_state_target*'LEAP Statewide'!J12</f>
        <v>42.804919870106232</v>
      </c>
      <c r="K12" s="5">
        <f>res_share_state_target*'LEAP Statewide'!K12</f>
        <v>0</v>
      </c>
      <c r="L12" s="21"/>
    </row>
    <row r="13" spans="1:25" x14ac:dyDescent="0.25">
      <c r="A13" s="1" t="s">
        <v>11</v>
      </c>
      <c r="B13" s="4">
        <f>res_share_state_target*'LEAP Statewide'!B13</f>
        <v>6.1340383614482459</v>
      </c>
      <c r="C13" s="4">
        <f>res_share_state_target*'LEAP Statewide'!C13</f>
        <v>8.1247433576325356</v>
      </c>
      <c r="D13" s="4">
        <f>res_share_state_target*'LEAP Statewide'!D13</f>
        <v>10.029724215225158</v>
      </c>
      <c r="E13" s="5">
        <f>res_share_state_target*'LEAP Statewide'!E13</f>
        <v>12.972919640205761</v>
      </c>
      <c r="G13" s="1" t="s">
        <v>11</v>
      </c>
      <c r="H13" s="4">
        <f>res_share_state_target*'LEAP Statewide'!H13</f>
        <v>7.0579540773806677</v>
      </c>
      <c r="I13" s="4">
        <f>res_share_state_target*'LEAP Statewide'!I13</f>
        <v>12.915770214477982</v>
      </c>
      <c r="J13" s="4">
        <f>res_share_state_target*'LEAP Statewide'!J13</f>
        <v>17.402000134108608</v>
      </c>
      <c r="K13" s="5">
        <f>res_share_state_target*'LEAP Statewide'!K13</f>
        <v>21.659632350828122</v>
      </c>
      <c r="L13" s="21"/>
      <c r="N13" s="21"/>
      <c r="O13" s="21"/>
      <c r="P13" s="21"/>
      <c r="Q13" s="21"/>
      <c r="T13" s="21"/>
      <c r="U13" s="21"/>
      <c r="V13" s="21"/>
      <c r="W13" s="21"/>
    </row>
    <row r="14" spans="1:25" x14ac:dyDescent="0.25">
      <c r="A14" s="7" t="s">
        <v>12</v>
      </c>
      <c r="B14" s="8">
        <f>SUM(B4:B13)</f>
        <v>298.25332796898897</v>
      </c>
      <c r="C14" s="8">
        <f>SUM(C4:C13)</f>
        <v>278.48915157146553</v>
      </c>
      <c r="D14" s="8">
        <f>SUM(D4:D13)</f>
        <v>258.31540428955964</v>
      </c>
      <c r="E14" s="9">
        <f>SUM(E4:E13)</f>
        <v>234.76031598542687</v>
      </c>
      <c r="G14" s="7" t="s">
        <v>12</v>
      </c>
      <c r="H14" s="8">
        <f>SUM(H4:H13)</f>
        <v>294.66243905242686</v>
      </c>
      <c r="I14" s="8">
        <f>SUM(I4:I13)</f>
        <v>258.83927402539763</v>
      </c>
      <c r="J14" s="8">
        <f>SUM(J4:J13)</f>
        <v>217.35831585131825</v>
      </c>
      <c r="K14" s="9">
        <f>SUM(K4:K13)</f>
        <v>153.61765635626912</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266.69732006296721</v>
      </c>
      <c r="C24" s="4">
        <f>res_share_state_target*'LEAP Statewide'!C24*1000</f>
        <v>219.07279862315161</v>
      </c>
      <c r="D24" s="4">
        <f>res_share_state_target*'LEAP Statewide'!D24*1000</f>
        <v>190.49808575926227</v>
      </c>
      <c r="E24" s="5">
        <f>res_share_state_target*'LEAP Statewide'!E24*1000</f>
        <v>161.92337289537295</v>
      </c>
      <c r="G24" s="1" t="s">
        <v>21</v>
      </c>
      <c r="H24" s="4">
        <f>res_share_state_target*'LEAP Statewide'!H24*1000</f>
        <v>266.69732006296721</v>
      </c>
      <c r="I24" s="4">
        <f>res_share_state_target*'LEAP Statewide'!I24*1000</f>
        <v>219.07279862315161</v>
      </c>
      <c r="J24" s="4">
        <f>res_share_state_target*'LEAP Statewide'!J24*1000</f>
        <v>104.77394716759424</v>
      </c>
      <c r="K24" s="5">
        <f>res_share_state_target*'LEAP Statewide'!K24*1000</f>
        <v>9.5249042879631141</v>
      </c>
    </row>
    <row r="25" spans="1:16" x14ac:dyDescent="0.25">
      <c r="A25" s="1" t="s">
        <v>22</v>
      </c>
      <c r="B25" s="4">
        <f>res_share_state_target*'LEAP Statewide'!B25*1000</f>
        <v>38.099617151852456</v>
      </c>
      <c r="C25" s="4">
        <f>res_share_state_target*'LEAP Statewide'!C25*1000</f>
        <v>28.574712863889346</v>
      </c>
      <c r="D25" s="4">
        <f>res_share_state_target*'LEAP Statewide'!D25*1000</f>
        <v>28.574712863889346</v>
      </c>
      <c r="E25" s="5">
        <f>res_share_state_target*'LEAP Statewide'!E25*1000</f>
        <v>19.049808575926228</v>
      </c>
      <c r="G25" s="1" t="s">
        <v>22</v>
      </c>
      <c r="H25" s="4">
        <f>res_share_state_target*'LEAP Statewide'!H25*1000</f>
        <v>38.099617151852456</v>
      </c>
      <c r="I25" s="4">
        <f>res_share_state_target*'LEAP Statewide'!I25*1000</f>
        <v>28.574712863889346</v>
      </c>
      <c r="J25" s="4">
        <f>res_share_state_target*'LEAP Statewide'!J25*1000</f>
        <v>9.5249042879631141</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19.049808575926228</v>
      </c>
      <c r="K26" s="5">
        <f>res_share_state_target*'LEAP Statewide'!K26*1000</f>
        <v>47.624521439815567</v>
      </c>
    </row>
    <row r="27" spans="1:16" x14ac:dyDescent="0.25">
      <c r="A27" s="1" t="s">
        <v>20</v>
      </c>
      <c r="B27" s="4">
        <f>res_share_state_target*'LEAP Statewide'!B27*1000</f>
        <v>9.5249042879631141</v>
      </c>
      <c r="C27" s="4">
        <f>res_share_state_target*'LEAP Statewide'!C27*1000</f>
        <v>9.5249042879631141</v>
      </c>
      <c r="D27" s="4">
        <f>res_share_state_target*'LEAP Statewide'!D27*1000</f>
        <v>9.5249042879631141</v>
      </c>
      <c r="E27" s="5">
        <f>res_share_state_target*'LEAP Statewide'!E27*1000</f>
        <v>9.5249042879631141</v>
      </c>
      <c r="G27" s="1" t="s">
        <v>20</v>
      </c>
      <c r="H27" s="4">
        <f>res_share_state_target*'LEAP Statewide'!H27*1000</f>
        <v>9.5249042879631141</v>
      </c>
      <c r="I27" s="4">
        <f>res_share_state_target*'LEAP Statewide'!I27*1000</f>
        <v>9.5249042879631141</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9.5249042879631141</v>
      </c>
      <c r="K28" s="5">
        <f>res_share_state_target*'LEAP Statewide'!K28*1000</f>
        <v>9.5249042879631141</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314.32184150278277</v>
      </c>
      <c r="C30" s="8">
        <f>SUM(C24:C29)</f>
        <v>257.17241577500408</v>
      </c>
      <c r="D30" s="8">
        <f>SUM(D24:D29)</f>
        <v>228.59770291111474</v>
      </c>
      <c r="E30" s="9">
        <f>SUM(E24:E29)</f>
        <v>190.4980857592623</v>
      </c>
      <c r="G30" s="7" t="s">
        <v>12</v>
      </c>
      <c r="H30" s="8">
        <f>SUM(H24:H29)</f>
        <v>314.32184150278277</v>
      </c>
      <c r="I30" s="8">
        <f>SUM(I24:I29)</f>
        <v>257.17241577500408</v>
      </c>
      <c r="J30" s="8">
        <f>SUM(J24:J29)</f>
        <v>142.8735643194467</v>
      </c>
      <c r="K30" s="9">
        <f>SUM(K24:K29)</f>
        <v>66.674330015741788</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0.98106514166020076</v>
      </c>
      <c r="C49" s="20">
        <f>res_share_state_target*'LEAP Statewide'!C49</f>
        <v>4.6957778139658153</v>
      </c>
      <c r="D49" s="20">
        <f>res_share_state_target*'LEAP Statewide'!D49</f>
        <v>8.1437931662084626</v>
      </c>
      <c r="E49" s="20">
        <f>res_share_state_target*'LEAP Statewide'!E49</f>
        <v>13.430115046027991</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1.2949457364341086</v>
      </c>
      <c r="I4" s="4">
        <f>res_share_region_target*'LEAP Scenario'!I4</f>
        <v>4.6248062015503884</v>
      </c>
      <c r="J4" s="4">
        <f>res_share_region_target*'LEAP Scenario'!J4</f>
        <v>7.5846821705426368</v>
      </c>
      <c r="K4" s="5">
        <f>res_share_region_target*'LEAP Scenario'!K4</f>
        <v>11.747007751937986</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0.78958190541466766</v>
      </c>
      <c r="U4" s="4">
        <f>com_share_region_target*'LEAP Scenario'!U4</f>
        <v>4.8361891706648397</v>
      </c>
      <c r="V4" s="4">
        <f>com_share_region_target*'LEAP Scenario'!V4</f>
        <v>9.0801919122686776</v>
      </c>
      <c r="W4" s="5">
        <f>com_share_region_target*'LEAP Scenario'!W4</f>
        <v>16.186429061000688</v>
      </c>
      <c r="Y4" s="23"/>
    </row>
    <row r="5" spans="1:25" x14ac:dyDescent="0.25">
      <c r="A5" s="1" t="s">
        <v>3</v>
      </c>
      <c r="B5" s="4">
        <f>res_share_region_target*'LEAP Scenario'!B5</f>
        <v>174.81767441860467</v>
      </c>
      <c r="C5" s="4">
        <f>res_share_region_target*'LEAP Scenario'!C5</f>
        <v>145.03392248062016</v>
      </c>
      <c r="D5" s="4">
        <f>res_share_region_target*'LEAP Scenario'!D5</f>
        <v>120.33745736434111</v>
      </c>
      <c r="E5" s="5">
        <f>res_share_region_target*'LEAP Scenario'!E5</f>
        <v>91.6636589147287</v>
      </c>
      <c r="G5" s="1" t="s">
        <v>3</v>
      </c>
      <c r="H5" s="4">
        <f>res_share_region_target*'LEAP Scenario'!H5</f>
        <v>171.95029457364345</v>
      </c>
      <c r="I5" s="4">
        <f>res_share_region_target*'LEAP Scenario'!I5</f>
        <v>135.96930232558142</v>
      </c>
      <c r="J5" s="4">
        <f>res_share_region_target*'LEAP Scenario'!J5</f>
        <v>104.33562790697675</v>
      </c>
      <c r="K5" s="5">
        <f>res_share_region_target*'LEAP Scenario'!K5</f>
        <v>69.372093023255829</v>
      </c>
      <c r="L5" s="21"/>
      <c r="M5" s="1" t="s">
        <v>14</v>
      </c>
      <c r="N5" s="4">
        <f>com_share_region_target*'LEAP Scenario'!N5</f>
        <v>40.762165867032216</v>
      </c>
      <c r="O5" s="4">
        <f>com_share_region_target*'LEAP Scenario'!O5</f>
        <v>33.45853324194654</v>
      </c>
      <c r="P5" s="4">
        <f>com_share_region_target*'LEAP Scenario'!P5</f>
        <v>24.970527758738864</v>
      </c>
      <c r="Q5" s="5">
        <f>com_share_region_target*'LEAP Scenario'!Q5</f>
        <v>11.646333104866349</v>
      </c>
      <c r="R5" s="2"/>
      <c r="S5" s="1" t="s">
        <v>14</v>
      </c>
      <c r="T5" s="4">
        <f>com_share_region_target*'LEAP Scenario'!T5</f>
        <v>40.268677176148053</v>
      </c>
      <c r="U5" s="4">
        <f>com_share_region_target*'LEAP Scenario'!U5</f>
        <v>30.004112405757372</v>
      </c>
      <c r="V5" s="4">
        <f>com_share_region_target*'LEAP Scenario'!V5</f>
        <v>18.456477039067856</v>
      </c>
      <c r="W5" s="5">
        <f>com_share_region_target*'LEAP Scenario'!W5</f>
        <v>9.8697738176833458E-2</v>
      </c>
      <c r="Y5" s="92"/>
    </row>
    <row r="6" spans="1:25" x14ac:dyDescent="0.25">
      <c r="A6" s="1" t="s">
        <v>4</v>
      </c>
      <c r="B6" s="4">
        <f>res_share_region_target*'LEAP Scenario'!B6</f>
        <v>17.666759689922483</v>
      </c>
      <c r="C6" s="4">
        <f>res_share_region_target*'LEAP Scenario'!C6</f>
        <v>13.134449612403102</v>
      </c>
      <c r="D6" s="4">
        <f>res_share_region_target*'LEAP Scenario'!D6</f>
        <v>7.5846821705426368</v>
      </c>
      <c r="E6" s="5">
        <f>res_share_region_target*'LEAP Scenario'!E6</f>
        <v>2.2199069767441864</v>
      </c>
      <c r="G6" s="1" t="s">
        <v>4</v>
      </c>
      <c r="H6" s="4">
        <f>res_share_region_target*'LEAP Scenario'!H6</f>
        <v>19.146697674418608</v>
      </c>
      <c r="I6" s="4">
        <f>res_share_region_target*'LEAP Scenario'!I6</f>
        <v>17.296775193798453</v>
      </c>
      <c r="J6" s="4">
        <f>res_share_region_target*'LEAP Scenario'!J6</f>
        <v>9.4346046511627915</v>
      </c>
      <c r="K6" s="5">
        <f>res_share_region_target*'LEAP Scenario'!K6</f>
        <v>2.8673798449612407</v>
      </c>
      <c r="L6" s="21"/>
      <c r="M6" s="1" t="s">
        <v>15</v>
      </c>
      <c r="N6" s="89">
        <f>com_share_region_target*'LEAP Scenario'!N6</f>
        <v>74.418094585332426</v>
      </c>
      <c r="O6" s="89">
        <f>com_share_region_target*'LEAP Scenario'!O6</f>
        <v>79.15558601782044</v>
      </c>
      <c r="P6" s="89">
        <f>com_share_region_target*'LEAP Scenario'!P6</f>
        <v>82.610006854009598</v>
      </c>
      <c r="Q6" s="90">
        <f>com_share_region_target*'LEAP Scenario'!Q6</f>
        <v>89.913639479095281</v>
      </c>
      <c r="R6" s="4"/>
      <c r="S6" s="1" t="s">
        <v>15</v>
      </c>
      <c r="T6" s="89">
        <f>com_share_region_target*'LEAP Scenario'!T6</f>
        <v>73.431117203564099</v>
      </c>
      <c r="U6" s="89">
        <f>com_share_region_target*'LEAP Scenario'!U6</f>
        <v>72.740233036326259</v>
      </c>
      <c r="V6" s="89">
        <f>com_share_region_target*'LEAP Scenario'!V6</f>
        <v>70.470185058259091</v>
      </c>
      <c r="W6" s="90">
        <f>com_share_region_target*'LEAP Scenario'!W6</f>
        <v>68.298834818368746</v>
      </c>
      <c r="Y6" s="92"/>
    </row>
    <row r="7" spans="1:25" x14ac:dyDescent="0.25">
      <c r="A7" s="1" t="s">
        <v>5</v>
      </c>
      <c r="B7" s="4">
        <f>res_share_region_target*'LEAP Scenario'!B7</f>
        <v>2.404899224806202</v>
      </c>
      <c r="C7" s="4">
        <f>res_share_region_target*'LEAP Scenario'!C7</f>
        <v>11.377023255813954</v>
      </c>
      <c r="D7" s="4">
        <f>res_share_region_target*'LEAP Scenario'!D7</f>
        <v>17.666759689922483</v>
      </c>
      <c r="E7" s="5">
        <f>res_share_region_target*'LEAP Scenario'!E7</f>
        <v>22.199069767441863</v>
      </c>
      <c r="G7" s="1" t="s">
        <v>5</v>
      </c>
      <c r="H7" s="4">
        <f>res_share_region_target*'LEAP Scenario'!H7</f>
        <v>2.1274108527131785</v>
      </c>
      <c r="I7" s="4">
        <f>res_share_region_target*'LEAP Scenario'!I7</f>
        <v>10.174573643410854</v>
      </c>
      <c r="J7" s="4">
        <f>res_share_region_target*'LEAP Scenario'!J7</f>
        <v>20.811627906976746</v>
      </c>
      <c r="K7" s="5">
        <f>res_share_region_target*'LEAP Scenario'!K7</f>
        <v>24.973953488372096</v>
      </c>
      <c r="M7" s="1" t="s">
        <v>8</v>
      </c>
      <c r="N7" s="4">
        <f>com_share_region_target*'LEAP Scenario'!N7</f>
        <v>30.694996572995205</v>
      </c>
      <c r="O7" s="4">
        <f>com_share_region_target*'LEAP Scenario'!O7</f>
        <v>33.162440027416039</v>
      </c>
      <c r="P7" s="4">
        <f>com_share_region_target*'LEAP Scenario'!P7</f>
        <v>35.037697052775876</v>
      </c>
      <c r="Q7" s="5">
        <f>com_share_region_target*'LEAP Scenario'!Q7</f>
        <v>38.88690884167238</v>
      </c>
      <c r="R7" s="4"/>
      <c r="S7" s="1" t="s">
        <v>8</v>
      </c>
      <c r="T7" s="4">
        <f>com_share_region_target*'LEAP Scenario'!T7</f>
        <v>29.510623714873205</v>
      </c>
      <c r="U7" s="4">
        <f>com_share_region_target*'LEAP Scenario'!U7</f>
        <v>25.464016449623031</v>
      </c>
      <c r="V7" s="4">
        <f>com_share_region_target*'LEAP Scenario'!V7</f>
        <v>20.627827278958193</v>
      </c>
      <c r="W7" s="5">
        <f>com_share_region_target*'LEAP Scenario'!W7</f>
        <v>13.12679917751885</v>
      </c>
      <c r="Y7" s="92"/>
    </row>
    <row r="8" spans="1:25" x14ac:dyDescent="0.25">
      <c r="A8" s="1" t="s">
        <v>6</v>
      </c>
      <c r="B8" s="4">
        <f>res_share_region_target*'LEAP Scenario'!B8</f>
        <v>0.27748837209302329</v>
      </c>
      <c r="C8" s="4">
        <f>res_share_region_target*'LEAP Scenario'!C8</f>
        <v>1.202449612403101</v>
      </c>
      <c r="D8" s="4">
        <f>res_share_region_target*'LEAP Scenario'!D8</f>
        <v>4.3473178294573653</v>
      </c>
      <c r="E8" s="5">
        <f>res_share_region_target*'LEAP Scenario'!E8</f>
        <v>10.452062015503877</v>
      </c>
      <c r="G8" s="1" t="s">
        <v>6</v>
      </c>
      <c r="H8" s="4">
        <f>res_share_region_target*'LEAP Scenario'!H8</f>
        <v>1.4799379844961242</v>
      </c>
      <c r="I8" s="4">
        <f>res_share_region_target*'LEAP Scenario'!I8</f>
        <v>4.2548217054263571</v>
      </c>
      <c r="J8" s="4">
        <f>res_share_region_target*'LEAP Scenario'!J8</f>
        <v>8.3246511627906994</v>
      </c>
      <c r="K8" s="5">
        <f>res_share_region_target*'LEAP Scenario'!K8</f>
        <v>11.654511627906979</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11.932000000000002</v>
      </c>
      <c r="C9" s="4">
        <f>res_share_region_target*'LEAP Scenario'!C9</f>
        <v>15.169364341085274</v>
      </c>
      <c r="D9" s="4">
        <f>res_share_region_target*'LEAP Scenario'!D9</f>
        <v>18.591720930232562</v>
      </c>
      <c r="E9" s="5">
        <f>res_share_region_target*'LEAP Scenario'!E9</f>
        <v>4.7173023255813957</v>
      </c>
      <c r="G9" s="1" t="s">
        <v>7</v>
      </c>
      <c r="H9" s="4">
        <f>res_share_region_target*'LEAP Scenario'!H9</f>
        <v>11.099534883720931</v>
      </c>
      <c r="I9" s="4">
        <f>res_share_region_target*'LEAP Scenario'!I9</f>
        <v>12.856961240310079</v>
      </c>
      <c r="J9" s="4">
        <f>res_share_region_target*'LEAP Scenario'!J9</f>
        <v>14.891875968992251</v>
      </c>
      <c r="K9" s="5">
        <f>res_share_region_target*'LEAP Scenario'!K9</f>
        <v>0</v>
      </c>
      <c r="L9" s="21"/>
      <c r="M9" s="1" t="s">
        <v>16</v>
      </c>
      <c r="N9" s="4">
        <f>com_share_region_target*'LEAP Scenario'!N9</f>
        <v>4.1453050034270049</v>
      </c>
      <c r="O9" s="4">
        <f>com_share_region_target*'LEAP Scenario'!O9</f>
        <v>3.0596298834818372</v>
      </c>
      <c r="P9" s="4">
        <f>com_share_region_target*'LEAP Scenario'!P9</f>
        <v>1.8752570253598357</v>
      </c>
      <c r="Q9" s="5">
        <f>com_share_region_target*'LEAP Scenario'!Q9</f>
        <v>0</v>
      </c>
      <c r="R9" s="2"/>
      <c r="S9" s="1" t="s">
        <v>16</v>
      </c>
      <c r="T9" s="4">
        <f>com_share_region_target*'LEAP Scenario'!T9</f>
        <v>4.1453050034270049</v>
      </c>
      <c r="U9" s="4">
        <f>com_share_region_target*'LEAP Scenario'!U9</f>
        <v>3.0596298834818372</v>
      </c>
      <c r="V9" s="4">
        <f>com_share_region_target*'LEAP Scenario'!V9</f>
        <v>1.8752570253598357</v>
      </c>
      <c r="W9" s="5">
        <f>com_share_region_target*'LEAP Scenario'!W9</f>
        <v>0</v>
      </c>
      <c r="Y9" s="23"/>
    </row>
    <row r="10" spans="1:25" x14ac:dyDescent="0.25">
      <c r="A10" s="1" t="s">
        <v>8</v>
      </c>
      <c r="B10" s="4">
        <f>res_share_region_target*'LEAP Scenario'!B10</f>
        <v>66.874697674418613</v>
      </c>
      <c r="C10" s="4">
        <f>res_share_region_target*'LEAP Scenario'!C10</f>
        <v>54.572713178294585</v>
      </c>
      <c r="D10" s="4">
        <f>res_share_region_target*'LEAP Scenario'!D10</f>
        <v>43.658170542635666</v>
      </c>
      <c r="E10" s="5">
        <f>res_share_region_target*'LEAP Scenario'!E10</f>
        <v>29.228775193798455</v>
      </c>
      <c r="G10" s="1" t="s">
        <v>8</v>
      </c>
      <c r="H10" s="4">
        <f>res_share_region_target*'LEAP Scenario'!H10</f>
        <v>65.394759689922495</v>
      </c>
      <c r="I10" s="4">
        <f>res_share_region_target*'LEAP Scenario'!I10</f>
        <v>51.150356589147293</v>
      </c>
      <c r="J10" s="4">
        <f>res_share_region_target*'LEAP Scenario'!J10</f>
        <v>32.743627906976748</v>
      </c>
      <c r="K10" s="5">
        <f>res_share_region_target*'LEAP Scenario'!K10</f>
        <v>11.469519379844963</v>
      </c>
      <c r="L10" s="21"/>
      <c r="M10" s="1" t="s">
        <v>17</v>
      </c>
      <c r="N10" s="4">
        <f>com_share_region_target*'LEAP Scenario'!N10</f>
        <v>13.324194653872517</v>
      </c>
      <c r="O10" s="4">
        <f>com_share_region_target*'LEAP Scenario'!O10</f>
        <v>14.903358464701853</v>
      </c>
      <c r="P10" s="4">
        <f>com_share_region_target*'LEAP Scenario'!P10</f>
        <v>16.383824537354354</v>
      </c>
      <c r="Q10" s="5">
        <f>com_share_region_target*'LEAP Scenario'!Q10</f>
        <v>18.949965729952023</v>
      </c>
      <c r="R10" s="4"/>
      <c r="S10" s="1" t="s">
        <v>17</v>
      </c>
      <c r="T10" s="4">
        <f>com_share_region_target*'LEAP Scenario'!T10</f>
        <v>13.916381082933517</v>
      </c>
      <c r="U10" s="4">
        <f>com_share_region_target*'LEAP Scenario'!U10</f>
        <v>19.048663468128858</v>
      </c>
      <c r="V10" s="4">
        <f>com_share_region_target*'LEAP Scenario'!V10</f>
        <v>24.082248115147365</v>
      </c>
      <c r="W10" s="5">
        <f>com_share_region_target*'LEAP Scenario'!W10</f>
        <v>32.767649074708707</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163.34475668265938</v>
      </c>
      <c r="O11" s="8">
        <f>SUM(O4:O10)</f>
        <v>163.73954763536673</v>
      </c>
      <c r="P11" s="8">
        <f>SUM(P4:P10)</f>
        <v>160.87731322823853</v>
      </c>
      <c r="Q11" s="9">
        <f>SUM(Q4:Q10)</f>
        <v>159.39684715558602</v>
      </c>
      <c r="R11" s="4"/>
      <c r="S11" s="7" t="s">
        <v>12</v>
      </c>
      <c r="T11" s="8">
        <f>SUM(T4:T10)</f>
        <v>162.06168608636054</v>
      </c>
      <c r="U11" s="8">
        <f>SUM(U4:U10)</f>
        <v>155.15284441398222</v>
      </c>
      <c r="V11" s="8">
        <f>SUM(V4:V10)</f>
        <v>144.59218642906103</v>
      </c>
      <c r="W11" s="9">
        <f>SUM(W4:W10)</f>
        <v>130.47840986977383</v>
      </c>
    </row>
    <row r="12" spans="1:25" x14ac:dyDescent="0.25">
      <c r="A12" s="1" t="s">
        <v>10</v>
      </c>
      <c r="B12" s="4">
        <f>res_share_region_target*'LEAP Scenario'!B12</f>
        <v>162.88567441860468</v>
      </c>
      <c r="C12" s="4">
        <f>res_share_region_target*'LEAP Scenario'!C12</f>
        <v>124.12979844961242</v>
      </c>
      <c r="D12" s="4">
        <f>res_share_region_target*'LEAP Scenario'!D12</f>
        <v>86.9463565891473</v>
      </c>
      <c r="E12" s="5">
        <f>res_share_region_target*'LEAP Scenario'!E12</f>
        <v>38.015906976744191</v>
      </c>
      <c r="G12" s="1" t="s">
        <v>10</v>
      </c>
      <c r="H12" s="4">
        <f>res_share_region_target*'LEAP Scenario'!H12</f>
        <v>156.68843410852716</v>
      </c>
      <c r="I12" s="4">
        <f>res_share_region_target*'LEAP Scenario'!I12</f>
        <v>105.26058914728684</v>
      </c>
      <c r="J12" s="4">
        <f>res_share_region_target*'LEAP Scenario'!J12</f>
        <v>55.590170542635668</v>
      </c>
      <c r="K12" s="5">
        <f>res_share_region_target*'LEAP Scenario'!K12</f>
        <v>0</v>
      </c>
      <c r="L12" s="21"/>
    </row>
    <row r="13" spans="1:25" x14ac:dyDescent="0.25">
      <c r="A13" s="1" t="s">
        <v>11</v>
      </c>
      <c r="B13" s="4">
        <f>res_share_region_target*'LEAP Scenario'!B13</f>
        <v>33.668589147286824</v>
      </c>
      <c r="C13" s="4">
        <f>res_share_region_target*'LEAP Scenario'!C13</f>
        <v>29.87624806201551</v>
      </c>
      <c r="D13" s="4">
        <f>res_share_region_target*'LEAP Scenario'!D13</f>
        <v>26.823875968992251</v>
      </c>
      <c r="E13" s="5">
        <f>res_share_region_target*'LEAP Scenario'!E13</f>
        <v>23.956496124031013</v>
      </c>
      <c r="G13" s="1" t="s">
        <v>11</v>
      </c>
      <c r="H13" s="4">
        <f>res_share_region_target*'LEAP Scenario'!H13</f>
        <v>29.228775193798455</v>
      </c>
      <c r="I13" s="4">
        <f>res_share_region_target*'LEAP Scenario'!I13</f>
        <v>32.65113178294574</v>
      </c>
      <c r="J13" s="4">
        <f>res_share_region_target*'LEAP Scenario'!J13</f>
        <v>29.32127131782946</v>
      </c>
      <c r="K13" s="5">
        <f>res_share_region_target*'LEAP Scenario'!K13</f>
        <v>27.378852713178297</v>
      </c>
      <c r="L13" s="21"/>
      <c r="N13" s="21"/>
      <c r="O13" s="21"/>
      <c r="P13" s="21"/>
      <c r="Q13" s="21"/>
      <c r="T13" s="21"/>
      <c r="U13" s="21"/>
      <c r="V13" s="21"/>
      <c r="W13" s="21"/>
    </row>
    <row r="14" spans="1:25" x14ac:dyDescent="0.25">
      <c r="A14" s="7" t="s">
        <v>12</v>
      </c>
      <c r="B14" s="8">
        <f>SUM(B4:B13)</f>
        <v>470.52778294573642</v>
      </c>
      <c r="C14" s="8">
        <f>SUM(C4:C13)</f>
        <v>394.49596899224809</v>
      </c>
      <c r="D14" s="8">
        <f>SUM(D4:D13)</f>
        <v>325.95634108527133</v>
      </c>
      <c r="E14" s="9">
        <f>SUM(E4:E13)</f>
        <v>222.45317829457369</v>
      </c>
      <c r="G14" s="7" t="s">
        <v>12</v>
      </c>
      <c r="H14" s="8">
        <f>SUM(H4:H13)</f>
        <v>458.41079069767454</v>
      </c>
      <c r="I14" s="8">
        <f>SUM(I4:I13)</f>
        <v>374.23931782945749</v>
      </c>
      <c r="J14" s="8">
        <f>SUM(J4:J13)</f>
        <v>283.03813953488373</v>
      </c>
      <c r="K14" s="9">
        <f>SUM(K4:K13)</f>
        <v>159.4633178294574</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269.34871317829459</v>
      </c>
      <c r="C24" s="4">
        <f>res_share_region_target*'LEAP Scenario'!C24</f>
        <v>219.21581395348841</v>
      </c>
      <c r="D24" s="4">
        <f>res_share_region_target*'LEAP Scenario'!D24</f>
        <v>186.84217054263567</v>
      </c>
      <c r="E24" s="5">
        <f>res_share_region_target*'LEAP Scenario'!E24</f>
        <v>156.87342635658916</v>
      </c>
      <c r="G24" s="1" t="s">
        <v>21</v>
      </c>
      <c r="H24" s="4">
        <f>res_share_region_target*'LEAP Scenario'!H24</f>
        <v>270.3661705426357</v>
      </c>
      <c r="I24" s="4">
        <f>res_share_region_target*'LEAP Scenario'!I24</f>
        <v>193.68688372093027</v>
      </c>
      <c r="J24" s="4">
        <f>res_share_region_target*'LEAP Scenario'!J24</f>
        <v>107.85048062015505</v>
      </c>
      <c r="K24" s="5">
        <f>res_share_region_target*'LEAP Scenario'!K24</f>
        <v>8.4171472868217059</v>
      </c>
    </row>
    <row r="25" spans="1:16" x14ac:dyDescent="0.25">
      <c r="A25" s="1" t="s">
        <v>22</v>
      </c>
      <c r="B25" s="4">
        <f>res_share_region_target*'LEAP Scenario'!B25</f>
        <v>36.535968992248065</v>
      </c>
      <c r="C25" s="4">
        <f>res_share_region_target*'LEAP Scenario'!C25</f>
        <v>29.506263565891476</v>
      </c>
      <c r="D25" s="4">
        <f>res_share_region_target*'LEAP Scenario'!D25</f>
        <v>24.973953488372096</v>
      </c>
      <c r="E25" s="5">
        <f>res_share_region_target*'LEAP Scenario'!E25</f>
        <v>20.719131782945738</v>
      </c>
      <c r="G25" s="1" t="s">
        <v>22</v>
      </c>
      <c r="H25" s="4">
        <f>res_share_region_target*'LEAP Scenario'!H25</f>
        <v>36.073488372093031</v>
      </c>
      <c r="I25" s="4">
        <f>res_share_region_target*'LEAP Scenario'!I25</f>
        <v>24.048992248062017</v>
      </c>
      <c r="J25" s="4">
        <f>res_share_region_target*'LEAP Scenario'!J25</f>
        <v>13.041953488372094</v>
      </c>
      <c r="K25" s="5">
        <f>res_share_region_target*'LEAP Scenario'!K25</f>
        <v>1.4799379844961242</v>
      </c>
    </row>
    <row r="26" spans="1:16" x14ac:dyDescent="0.25">
      <c r="A26" s="1" t="s">
        <v>23</v>
      </c>
      <c r="B26" s="4">
        <f>res_share_region_target*'LEAP Scenario'!B26</f>
        <v>0.27748837209302329</v>
      </c>
      <c r="C26" s="4">
        <f>res_share_region_target*'LEAP Scenario'!C26</f>
        <v>0.83246511627906994</v>
      </c>
      <c r="D26" s="4">
        <f>res_share_region_target*'LEAP Scenario'!D26</f>
        <v>1.2949457364341086</v>
      </c>
      <c r="E26" s="5">
        <f>res_share_region_target*'LEAP Scenario'!E26</f>
        <v>1.9424186046511631</v>
      </c>
      <c r="G26" s="1" t="s">
        <v>23</v>
      </c>
      <c r="H26" s="4">
        <f>res_share_region_target*'LEAP Scenario'!H26</f>
        <v>0.27748837209302329</v>
      </c>
      <c r="I26" s="4">
        <f>res_share_region_target*'LEAP Scenario'!I26</f>
        <v>7.5846821705426368</v>
      </c>
      <c r="J26" s="4">
        <f>res_share_region_target*'LEAP Scenario'!J26</f>
        <v>22.01407751937985</v>
      </c>
      <c r="K26" s="5">
        <f>res_share_region_target*'LEAP Scenario'!K26</f>
        <v>42.640713178294583</v>
      </c>
    </row>
    <row r="27" spans="1:16" x14ac:dyDescent="0.25">
      <c r="A27" s="1" t="s">
        <v>20</v>
      </c>
      <c r="B27" s="4">
        <f>res_share_region_target*'LEAP Scenario'!B27</f>
        <v>9.8045891472868227</v>
      </c>
      <c r="C27" s="4">
        <f>res_share_region_target*'LEAP Scenario'!C27</f>
        <v>9.2496124031007767</v>
      </c>
      <c r="D27" s="4">
        <f>res_share_region_target*'LEAP Scenario'!D27</f>
        <v>9.0646201550387602</v>
      </c>
      <c r="E27" s="5">
        <f>res_share_region_target*'LEAP Scenario'!E27</f>
        <v>8.9721240310077537</v>
      </c>
      <c r="G27" s="1" t="s">
        <v>20</v>
      </c>
      <c r="H27" s="4">
        <f>res_share_region_target*'LEAP Scenario'!H27</f>
        <v>9.0646201550387602</v>
      </c>
      <c r="I27" s="4">
        <f>res_share_region_target*'LEAP Scenario'!I27</f>
        <v>5.6422635658914739</v>
      </c>
      <c r="J27" s="4">
        <f>res_share_region_target*'LEAP Scenario'!J27</f>
        <v>3.0523720930232563</v>
      </c>
      <c r="K27" s="5">
        <f>res_share_region_target*'LEAP Scenario'!K27</f>
        <v>9.2496124031007765E-2</v>
      </c>
    </row>
    <row r="28" spans="1:16" x14ac:dyDescent="0.25">
      <c r="A28" s="1" t="s">
        <v>18</v>
      </c>
      <c r="B28" s="4">
        <f>res_share_region_target*'LEAP Scenario'!B28</f>
        <v>9.2496124031007765E-2</v>
      </c>
      <c r="C28" s="4">
        <f>res_share_region_target*'LEAP Scenario'!C28</f>
        <v>9.2496124031007765E-2</v>
      </c>
      <c r="D28" s="4">
        <f>res_share_region_target*'LEAP Scenario'!D28</f>
        <v>9.2496124031007765E-2</v>
      </c>
      <c r="E28" s="5">
        <f>res_share_region_target*'LEAP Scenario'!E28</f>
        <v>0</v>
      </c>
      <c r="G28" s="1" t="s">
        <v>18</v>
      </c>
      <c r="H28" s="4">
        <f>res_share_region_target*'LEAP Scenario'!H28</f>
        <v>0.73996899224806212</v>
      </c>
      <c r="I28" s="4">
        <f>res_share_region_target*'LEAP Scenario'!I28</f>
        <v>3.514852713178295</v>
      </c>
      <c r="J28" s="4">
        <f>res_share_region_target*'LEAP Scenario'!J28</f>
        <v>5.6422635658914739</v>
      </c>
      <c r="K28" s="5">
        <f>res_share_region_target*'LEAP Scenario'!K28</f>
        <v>8.0471627906976764</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316.05925581395354</v>
      </c>
      <c r="C30" s="8">
        <f>SUM(C24:C29)</f>
        <v>258.89665116279076</v>
      </c>
      <c r="D30" s="8">
        <f>SUM(D24:D29)</f>
        <v>222.26818604651166</v>
      </c>
      <c r="E30" s="9">
        <f>SUM(E24:E29)</f>
        <v>188.50710077519381</v>
      </c>
      <c r="G30" s="7" t="s">
        <v>12</v>
      </c>
      <c r="H30" s="8">
        <f>SUM(H24:H29)</f>
        <v>316.52173643410862</v>
      </c>
      <c r="I30" s="8">
        <f>SUM(I24:I29)</f>
        <v>234.47767441860469</v>
      </c>
      <c r="J30" s="8">
        <f>SUM(J24:J29)</f>
        <v>151.60114728682171</v>
      </c>
      <c r="K30" s="9">
        <f>SUM(K24:K29)</f>
        <v>60.677457364341095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1.1099534883720932</v>
      </c>
      <c r="C49" s="20">
        <f>res_share_region_target*'LEAP Scenario'!C49</f>
        <v>5.1797829457364344</v>
      </c>
      <c r="D49" s="20">
        <f>res_share_region_target*'LEAP Scenario'!D49</f>
        <v>8.1396589147286829</v>
      </c>
      <c r="E49" s="20">
        <f>res_share_region_target*'LEAP Scenario'!E49</f>
        <v>11.932000000000002</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470527.78294573643</v>
      </c>
      <c r="J21" s="63">
        <f>'2.Heat Targets'!C24</f>
        <v>394495.96899224812</v>
      </c>
      <c r="K21" s="63">
        <f>'2.Heat Targets'!D24</f>
        <v>325956.34108527133</v>
      </c>
      <c r="L21" s="64">
        <f>'2.Heat Targets'!E24</f>
        <v>222453.17829457368</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3755.3426356589152</v>
      </c>
      <c r="J22" s="63">
        <f>'2.Heat Targets'!C25</f>
        <v>20127.156589147289</v>
      </c>
      <c r="K22" s="63">
        <f>'2.Heat Targets'!D25</f>
        <v>39625.339534883722</v>
      </c>
      <c r="L22" s="64">
        <f>'2.Heat Targets'!E25</f>
        <v>42446.471317829455</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458410.79069767456</v>
      </c>
      <c r="J23" s="63">
        <f>'2.Heat Targets'!C26</f>
        <v>374239.31782945752</v>
      </c>
      <c r="K23" s="63">
        <f>'2.Heat Targets'!D26</f>
        <v>283038.13953488372</v>
      </c>
      <c r="L23" s="64">
        <f>'2.Heat Targets'!E26</f>
        <v>159463.3178294574</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5050.2883720930231</v>
      </c>
      <c r="J24" s="63">
        <f>'2.Heat Targets'!C27</f>
        <v>23087.032558139541</v>
      </c>
      <c r="K24" s="63">
        <f>'2.Heat Targets'!D27</f>
        <v>52445.302325581404</v>
      </c>
      <c r="L24" s="64">
        <f>'2.Heat Targets'!E27</f>
        <v>73256.930232558152</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10822.046511627766</v>
      </c>
      <c r="J25" s="63">
        <f>'2.Heat Targets'!C28</f>
        <v>17296.775193798345</v>
      </c>
      <c r="K25" s="63">
        <f>'2.Heat Targets'!D28</f>
        <v>30098.238759689935</v>
      </c>
      <c r="L25" s="64">
        <f>'2.Heat Targets'!E28</f>
        <v>32179.401550387571</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24.412500000000001</v>
      </c>
      <c r="J26" s="308">
        <f>'2.Heat Targets'!C29</f>
        <v>0</v>
      </c>
      <c r="K26" s="308">
        <f>'2.Heat Targets'!D29</f>
        <v>0</v>
      </c>
      <c r="L26" s="308">
        <f>'2.Heat Targets'!E29</f>
        <v>0</v>
      </c>
      <c r="O26" s="308">
        <f>'2.Heat Targets'!B29</f>
        <v>24.412500000000001</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443.29939627763508</v>
      </c>
      <c r="J27" s="63">
        <f>'2.Heat Targets'!C30</f>
        <v>708.52125729844727</v>
      </c>
      <c r="K27" s="63">
        <f>'2.Heat Targets'!D30</f>
        <v>1232.9027653738835</v>
      </c>
      <c r="L27" s="64">
        <f>'2.Heat Targets'!E30</f>
        <v>1318.1526492734283</v>
      </c>
      <c r="O27" s="62">
        <f>O25/$O$26</f>
        <v>416.83050974675365</v>
      </c>
      <c r="P27" s="63">
        <f>P25/$O$26</f>
        <v>1805.274996490693</v>
      </c>
      <c r="Q27" s="63">
        <f>Q25/$O$26</f>
        <v>2721.8928487911112</v>
      </c>
      <c r="R27" s="64">
        <f>R25/$O$26</f>
        <v>5797.4830551362911</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2281</v>
      </c>
      <c r="J28" s="203">
        <f>'2.Heat Targets'!C31</f>
        <v>2417.86</v>
      </c>
      <c r="K28" s="203">
        <f>'2.Heat Targets'!D31</f>
        <v>2562.9316000000003</v>
      </c>
      <c r="L28" s="203">
        <f>'2.Heat Targets'!E31</f>
        <v>2716.7074960000004</v>
      </c>
      <c r="O28" s="203">
        <f>'2.Heat Targets'!B31</f>
        <v>2281</v>
      </c>
      <c r="P28" s="203">
        <f>'2.Heat Targets'!C31</f>
        <v>2417.86</v>
      </c>
      <c r="Q28" s="203">
        <f>'2.Heat Targets'!D31</f>
        <v>2562.9316000000003</v>
      </c>
      <c r="R28" s="203">
        <f>'2.Heat Targets'!E31</f>
        <v>2716.7074960000004</v>
      </c>
      <c r="T28" t="str">
        <f>'2.Heat Targets'!G31</f>
        <v>Enter a projection of the number of future residences in the area by each year.</v>
      </c>
    </row>
    <row r="29" spans="8:20" x14ac:dyDescent="0.25">
      <c r="I29" s="86">
        <f>'2.Heat Targets'!B32</f>
        <v>0.19434432103359714</v>
      </c>
      <c r="J29" s="87">
        <f>'2.Heat Targets'!C32</f>
        <v>0.29303651050865115</v>
      </c>
      <c r="K29" s="87">
        <f>'2.Heat Targets'!D32</f>
        <v>0.48105176329086713</v>
      </c>
      <c r="L29" s="88">
        <f>'2.Heat Targets'!E32</f>
        <v>0.48520227194655191</v>
      </c>
      <c r="O29" s="104">
        <f>O27/O28</f>
        <v>0.18274024977937467</v>
      </c>
      <c r="P29" s="105">
        <f>P27/P28</f>
        <v>0.74664165687454731</v>
      </c>
      <c r="Q29" s="105">
        <f>Q27/Q28</f>
        <v>1.0620232115406867</v>
      </c>
      <c r="R29" s="106">
        <f>R27/R28</f>
        <v>2.1340107699015567</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97.65</v>
      </c>
      <c r="J34" s="94">
        <f>'2.Heat Targets'!C54</f>
        <v>90.496246187207561</v>
      </c>
      <c r="K34" s="94">
        <f>'2.Heat Targets'!D54</f>
        <v>85.906323828661726</v>
      </c>
      <c r="L34" s="95">
        <f>'2.Heat Targets'!E54</f>
        <v>85.804999536104816</v>
      </c>
      <c r="O34" s="107">
        <f>'1.Current Heat'!B10</f>
        <v>97.65</v>
      </c>
      <c r="P34" s="108">
        <f>P29*($O$34-$O$26)+(1-P29)*$O$34</f>
        <v>79.422610551550122</v>
      </c>
      <c r="Q34" s="108">
        <f>Q29*($O$34-$O$26)+(1-Q29)*$O$34</f>
        <v>71.723358348263005</v>
      </c>
      <c r="R34" s="110">
        <f>R29*($O$34-$O$26)+(1-R29)*$O$34</f>
        <v>45.553462079778257</v>
      </c>
      <c r="T34" t="str">
        <f>'2.Heat Targets'!G54</f>
        <v>This is a projection of the average area residential heating load, in millions of Btu, computed based on values inputted above and in the "1.Current Heat" tab</v>
      </c>
    </row>
    <row r="35" spans="9:20" x14ac:dyDescent="0.25">
      <c r="I35" s="81">
        <f>'2.Heat Targets'!B55</f>
        <v>169082.9147286822</v>
      </c>
      <c r="J35" s="82">
        <f>'2.Heat Targets'!C55</f>
        <v>122742.35658914731</v>
      </c>
      <c r="K35" s="82">
        <f>'2.Heat Targets'!D55</f>
        <v>78066.728682170549</v>
      </c>
      <c r="L35" s="83">
        <f>'2.Heat Targets'!E55</f>
        <v>11747.007751937985</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7.6586433260393862E-3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1731.5198640930075</v>
      </c>
      <c r="J37" s="63">
        <f>'2.Heat Targets'!C57</f>
        <v>1356.3253920525383</v>
      </c>
      <c r="K37" s="63">
        <f>'2.Heat Targets'!D57</f>
        <v>908.74251397223009</v>
      </c>
      <c r="L37" s="64">
        <f>'2.Heat Targets'!E57</f>
        <v>136.90353493906969</v>
      </c>
      <c r="O37" s="62">
        <f>O35/O34</f>
        <v>2856.5623329451582</v>
      </c>
      <c r="P37" s="62">
        <f>P35/P34</f>
        <v>2679.6486902932115</v>
      </c>
      <c r="Q37" s="62">
        <f>Q35/Q34</f>
        <v>2084.9664745042883</v>
      </c>
      <c r="R37" s="112">
        <f>R35/R34</f>
        <v>1081.2863265493349</v>
      </c>
      <c r="T37" t="str">
        <f>'2.Heat Targets'!G57</f>
        <v>This formula computes an estimate the number of residences using biofuel-blended heat energy in the 90x50 scenario based on values inputted in the "1.Current Heat" tab.</v>
      </c>
    </row>
    <row r="38" spans="9:20" x14ac:dyDescent="0.25">
      <c r="I38" s="65">
        <f>'2.Heat Targets'!B58</f>
        <v>0.75910559583209447</v>
      </c>
      <c r="J38" s="66">
        <f>'2.Heat Targets'!C58</f>
        <v>0.56096109454333098</v>
      </c>
      <c r="K38" s="66">
        <f>'2.Heat Targets'!D58</f>
        <v>0.3545715047456709</v>
      </c>
      <c r="L38" s="67">
        <f>'2.Heat Targets'!E58</f>
        <v>5.0393181872042683E-2</v>
      </c>
      <c r="O38" s="109">
        <f>O37/O28</f>
        <v>1.252328949121069</v>
      </c>
      <c r="P38" s="109">
        <f>P37/P28</f>
        <v>1.1082728901976175</v>
      </c>
      <c r="Q38" s="109">
        <f>Q37/Q28</f>
        <v>0.81350843483465884</v>
      </c>
      <c r="R38" s="113">
        <f>R37/R28</f>
        <v>0.39801352487943176</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201179.06976744189</v>
      </c>
      <c r="J39" s="82">
        <f>'2.Heat Targets'!C59</f>
        <v>168620.43410852714</v>
      </c>
      <c r="K39" s="82">
        <f>'2.Heat Targets'!D59</f>
        <v>133656.8992248062</v>
      </c>
      <c r="L39" s="83">
        <f>'2.Heat Targets'!E59</f>
        <v>96750.945736434121</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2060.2055275723696</v>
      </c>
      <c r="J40" s="63">
        <f>'2.Heat Targets'!C60</f>
        <v>1863.2865031739086</v>
      </c>
      <c r="K40" s="63">
        <f>'2.Heat Targets'!D60</f>
        <v>1555.8447069785216</v>
      </c>
      <c r="L40" s="64">
        <f>'2.Heat Targets'!E60</f>
        <v>1127.5676972147</v>
      </c>
      <c r="O40" s="62">
        <f>O39/O34</f>
        <v>1918.0886718646479</v>
      </c>
      <c r="P40" s="62">
        <f>P39/P34</f>
        <v>2435.6194332444879</v>
      </c>
      <c r="Q40" s="62">
        <f>Q39/Q34</f>
        <v>2720.9964815753005</v>
      </c>
      <c r="R40" s="112">
        <f>R39/R34</f>
        <v>4380.792886135323</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0.90320277403435756</v>
      </c>
      <c r="J41" s="66">
        <f>'2.Heat Targets'!C61</f>
        <v>0.77063457072531438</v>
      </c>
      <c r="K41" s="66">
        <f>'2.Heat Targets'!D61</f>
        <v>0.60705666393068058</v>
      </c>
      <c r="L41" s="67">
        <f>'2.Heat Targets'!E61</f>
        <v>0.41504935620595784</v>
      </c>
      <c r="O41" s="109">
        <f>O40/O28</f>
        <v>0.8408981463676668</v>
      </c>
      <c r="P41" s="109">
        <f>P40/P28</f>
        <v>1.007345104036002</v>
      </c>
      <c r="Q41" s="109">
        <f>Q40/Q28</f>
        <v>1.0616734686073168</v>
      </c>
      <c r="R41" s="113">
        <f>R40/R28</f>
        <v>1.6125375634239139</v>
      </c>
      <c r="T41" t="str">
        <f>'2.Heat Targets'!G61</f>
        <v>This formula computes the estimated share of area residences using Wood heat  in the 90x50 scenario, based on values inputted in the "1.Current Heat" tab.</v>
      </c>
    </row>
    <row r="42" spans="9:20" x14ac:dyDescent="0.25">
      <c r="I42" s="81">
        <f>'2.Heat Targets'!B62</f>
        <v>3607.3488372093029</v>
      </c>
      <c r="J42" s="82">
        <f>'2.Heat Targets'!C62</f>
        <v>14429.395348837212</v>
      </c>
      <c r="K42" s="82">
        <f>'2.Heat Targets'!D62</f>
        <v>29136.279069767446</v>
      </c>
      <c r="L42" s="83">
        <f>'2.Heat Targets'!E62</f>
        <v>36628.465116279076</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126.65697036504025</v>
      </c>
      <c r="J43" s="63">
        <f>'2.Heat Targets'!C63</f>
        <v>552.75114696459138</v>
      </c>
      <c r="K43" s="63">
        <f>'2.Heat Targets'!D63</f>
        <v>1187.0718266047199</v>
      </c>
      <c r="L43" s="64">
        <f>'2.Heat Targets'!E63</f>
        <v>1506.6364011821661</v>
      </c>
      <c r="O43" s="62">
        <f>O42/((0.7*O34)/2.4)</f>
        <v>213.02776307669419</v>
      </c>
      <c r="P43" s="112">
        <f>P42/((0.75*P34)/2.6)</f>
        <v>1237.8417728347545</v>
      </c>
      <c r="Q43" s="112">
        <f>Q42/((0.8*Q34)/2.8)</f>
        <v>3222.2382840824653</v>
      </c>
      <c r="R43" s="64">
        <f>R42/((0.85*R34)/3)</f>
        <v>7713.0331849483418</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5.5526948866742767E-2</v>
      </c>
      <c r="J44" s="66">
        <f>'2.Heat Targets'!C64</f>
        <v>0.22861172564358206</v>
      </c>
      <c r="K44" s="66">
        <f>'2.Heat Targets'!D64</f>
        <v>0.46316953078448125</v>
      </c>
      <c r="L44" s="67">
        <f>'2.Heat Targets'!E64</f>
        <v>0.55458175140330446</v>
      </c>
      <c r="O44" s="109">
        <f>O43/O28</f>
        <v>9.3392267898594561E-2</v>
      </c>
      <c r="P44" s="109">
        <f>P43/P28</f>
        <v>0.51195758763317745</v>
      </c>
      <c r="Q44" s="109">
        <f>Q43/Q28</f>
        <v>1.257247085362116</v>
      </c>
      <c r="R44" s="113">
        <f>R43/R28</f>
        <v>2.8391106500441374</v>
      </c>
      <c r="T44" t="str">
        <f>'2.Heat Targets'!G64</f>
        <v>This formula computes the estimated share of area residences using Heat Pumps in the 90x50 scenario based on values inputted above and in the "1.Current Heat" tab.</v>
      </c>
    </row>
    <row r="45" spans="9:20" x14ac:dyDescent="0.25">
      <c r="I45" s="81">
        <f>'2.Heat Targets'!B65</f>
        <v>65394.759689922495</v>
      </c>
      <c r="J45" s="82">
        <f>'2.Heat Targets'!C65</f>
        <v>51150.35658914729</v>
      </c>
      <c r="K45" s="82">
        <f>'2.Heat Targets'!D65</f>
        <v>32743.627906976748</v>
      </c>
      <c r="L45" s="83">
        <f>'2.Heat Targets'!E65</f>
        <v>11469.519379844962</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669.68519907754728</v>
      </c>
      <c r="J46" s="63">
        <f>'2.Heat Targets'!C66</f>
        <v>565.22075493975399</v>
      </c>
      <c r="K46" s="63">
        <f>'2.Heat Targets'!D66</f>
        <v>381.15503548124343</v>
      </c>
      <c r="L46" s="64">
        <f>'2.Heat Targets'!E66</f>
        <v>133.66959316885544</v>
      </c>
      <c r="O46" s="62">
        <f>O45/O34</f>
        <v>2427.3824960621719</v>
      </c>
      <c r="P46" s="62">
        <f>P45/P34</f>
        <v>2353.9119831197454</v>
      </c>
      <c r="Q46" s="62">
        <f>Q45/Q34</f>
        <v>1643.4836485584735</v>
      </c>
      <c r="R46" s="112">
        <f>R45/R34</f>
        <v>656.92540372720998</v>
      </c>
      <c r="T46" t="str">
        <f>'2.Heat Targets'!G66</f>
        <v>This formula computes the estimates number of area residences using fossil heat in the 90x50 scenario based on values inputted in the "1.Current Heat" tab.</v>
      </c>
    </row>
    <row r="47" spans="9:20" x14ac:dyDescent="0.25">
      <c r="I47" s="65">
        <f>'2.Heat Targets'!B67</f>
        <v>0.29359280976657048</v>
      </c>
      <c r="J47" s="66">
        <f>'2.Heat Targets'!C67</f>
        <v>0.23376901679160661</v>
      </c>
      <c r="K47" s="66">
        <f>'2.Heat Targets'!D67</f>
        <v>0.14871837995256815</v>
      </c>
      <c r="L47" s="67">
        <f>'2.Heat Targets'!E67</f>
        <v>4.9202791749081043E-2</v>
      </c>
      <c r="O47" s="109">
        <f>O46/O28</f>
        <v>1.0641747023507988</v>
      </c>
      <c r="P47" s="109">
        <f>P46/P28</f>
        <v>0.97355181156880266</v>
      </c>
      <c r="Q47" s="109">
        <f>Q46/Q28</f>
        <v>0.64125146709279068</v>
      </c>
      <c r="R47" s="113">
        <f>R46/R28</f>
        <v>0.24180939784443023</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330</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9.5249042879631141E-3</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9.2496124031007765E-2</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7.5622308581031403E-3</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9.8697738176833458E-2</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9" sqref="B9"/>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283130.13799848483</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3770</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2399090.9090909092</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2183172.7272727275</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264728.25015000004</v>
      </c>
      <c r="C22" s="266" t="s">
        <v>66</v>
      </c>
      <c r="D22" s="266"/>
      <c r="E22" s="266"/>
      <c r="F22" s="266"/>
      <c r="G22" s="266"/>
      <c r="H22" s="266"/>
      <c r="I22" s="266"/>
      <c r="J22" s="266"/>
      <c r="K22" s="266"/>
      <c r="L22" s="266"/>
      <c r="M22" s="266"/>
      <c r="N22" s="266"/>
    </row>
    <row r="23" spans="1:14" ht="36" customHeight="1" x14ac:dyDescent="0.25">
      <c r="B23" s="120">
        <f>B18-B20</f>
        <v>215918.18181818165</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18290.42918181817</v>
      </c>
      <c r="C25" s="266" t="s">
        <v>69</v>
      </c>
      <c r="D25" s="266"/>
      <c r="E25" s="266"/>
      <c r="F25" s="266"/>
      <c r="G25" s="266"/>
      <c r="H25" s="266"/>
      <c r="I25" s="266"/>
      <c r="J25" s="266"/>
      <c r="K25" s="266"/>
      <c r="L25" s="266"/>
      <c r="M25" s="266"/>
      <c r="N25" s="266"/>
    </row>
    <row r="26" spans="1:14" ht="36" customHeight="1" x14ac:dyDescent="0.25">
      <c r="B26" s="122">
        <f>B22+B25</f>
        <v>283018.67933181819</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14</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32666.666666666668</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111.45866666666667</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341099.55913018616</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2281</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97.65</v>
      </c>
      <c r="C10" s="273" t="s">
        <v>543</v>
      </c>
      <c r="D10" s="272"/>
      <c r="E10" s="272"/>
      <c r="F10" s="272"/>
      <c r="G10" s="272"/>
      <c r="H10" s="272"/>
      <c r="I10" s="272"/>
      <c r="J10" s="272"/>
      <c r="K10" s="272"/>
      <c r="L10" s="272"/>
      <c r="M10" s="272"/>
      <c r="N10" s="272"/>
      <c r="O10" s="212">
        <f>SUM('2.Heat Targets'!E58,'2.Heat Targets'!E61,'2.Heat Targets'!E64,'2.Heat Targets'!E67)</f>
        <v>1.0692270812303861</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222739.65000000002</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144</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821.94381340407051</v>
      </c>
      <c r="C24" s="274" t="s">
        <v>541</v>
      </c>
      <c r="D24" s="275"/>
      <c r="E24" s="275"/>
      <c r="F24" s="275"/>
      <c r="G24" s="275"/>
      <c r="H24" s="275"/>
      <c r="I24" s="275"/>
      <c r="J24" s="275"/>
      <c r="K24" s="275"/>
      <c r="L24" s="275"/>
      <c r="M24" s="275"/>
      <c r="N24" s="275"/>
      <c r="O24" s="212">
        <f ca="1">SUM('2.Heat Targets'!E76,'2.Heat Targets'!E79,'2.Heat Targets'!E82,'2.Heat Targets'!E85)</f>
        <v>0.59752231290729441</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8</v>
      </c>
      <c r="L27" s="39">
        <f t="shared" ref="L27:L40" ca="1" si="1">IF(K27="","",K27/$K$41)</f>
        <v>5.5555555555555552E-2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31</v>
      </c>
      <c r="L28" s="41">
        <f t="shared" ca="1" si="1"/>
        <v>0.21527777777777779</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3</v>
      </c>
      <c r="L29" s="41">
        <f t="shared" ca="1" si="1"/>
        <v>2.0833333333333332E-2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2</v>
      </c>
      <c r="L30" s="41">
        <f t="shared" ca="1" si="1"/>
        <v>1.3888888888888888E-2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8</v>
      </c>
      <c r="L31" s="41">
        <f t="shared" ca="1" si="1"/>
        <v>5.5555555555555552E-2</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6</v>
      </c>
      <c r="L32" s="41">
        <f t="shared" ca="1" si="1"/>
        <v>4.1666666666666664E-2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11</v>
      </c>
      <c r="L33" s="41">
        <f t="shared" ca="1" si="1"/>
        <v>7.6388888888888895E-2</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1</v>
      </c>
      <c r="L34" s="41">
        <f t="shared" ca="1" si="1"/>
        <v>6.9444444444444441E-3</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10</v>
      </c>
      <c r="L35" s="41">
        <f t="shared" ca="1" si="1"/>
        <v>6.9444444444444448E-2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6</v>
      </c>
      <c r="L36" s="41">
        <f t="shared" ca="1" si="1"/>
        <v>4.1666666666666664E-2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18</v>
      </c>
      <c r="L37" s="41">
        <f t="shared" ca="1" si="1"/>
        <v>0.125</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2</v>
      </c>
      <c r="L38" s="41">
        <f t="shared" ca="1" si="1"/>
        <v>1.3888888888888888E-2</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23</v>
      </c>
      <c r="L39" s="41">
        <f t="shared" ca="1" si="1"/>
        <v>0.15972222222222221</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15</v>
      </c>
      <c r="L40" s="41">
        <f t="shared" ca="1" si="1"/>
        <v>0.10416666666666667</v>
      </c>
      <c r="Q40" s="23"/>
    </row>
    <row r="41" spans="2:19" ht="33" customHeight="1" x14ac:dyDescent="0.25">
      <c r="B41" s="54"/>
      <c r="D41" s="42"/>
      <c r="E41" s="185">
        <f>SUM(E27:E40)</f>
        <v>18617</v>
      </c>
      <c r="F41" s="185"/>
      <c r="G41" s="185">
        <f>SUM(G27:G40)</f>
        <v>201453</v>
      </c>
      <c r="H41" s="43"/>
      <c r="I41" s="44">
        <v>13000000</v>
      </c>
      <c r="J41" s="43"/>
      <c r="K41" s="185">
        <f ca="1">SUM(K27:K40)</f>
        <v>144</v>
      </c>
      <c r="L41" s="45">
        <f ca="1">SUMPRODUCT(J27:J40,L27:L40)</f>
        <v>821.94381340407051</v>
      </c>
      <c r="M41" s="278" t="s">
        <v>542</v>
      </c>
      <c r="N41" s="279"/>
      <c r="O41" s="279"/>
      <c r="P41" s="279"/>
      <c r="Q41" s="279"/>
      <c r="R41" s="279"/>
      <c r="S41" s="279"/>
    </row>
    <row r="42" spans="2:19" ht="22.5" customHeight="1" x14ac:dyDescent="0.25">
      <c r="B42" s="54"/>
    </row>
    <row r="43" spans="2:19" ht="37.5" customHeight="1" x14ac:dyDescent="0.25">
      <c r="B43" s="55">
        <f ca="1">B22*B24</f>
        <v>118359.90913018615</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9.1254429527780224E-3</v>
      </c>
      <c r="C45" s="266" t="s">
        <v>489</v>
      </c>
      <c r="D45" s="266"/>
      <c r="E45" s="266"/>
      <c r="F45" s="266"/>
      <c r="G45" s="266"/>
      <c r="H45" s="266"/>
      <c r="I45" s="266"/>
      <c r="J45" s="266"/>
      <c r="K45" s="266"/>
      <c r="L45" s="266"/>
      <c r="M45" s="266"/>
      <c r="N45" s="266"/>
      <c r="O45" s="266"/>
    </row>
    <row r="52" spans="4:4" x14ac:dyDescent="0.25">
      <c r="D52" s="23"/>
    </row>
  </sheetData>
  <mergeCells count="17">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 ref="C10:N10"/>
    <mergeCell ref="C45:O45"/>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470527.78294573643</v>
      </c>
      <c r="C24" s="129">
        <f>'LEAP Region'!C14*1000</f>
        <v>394495.96899224812</v>
      </c>
      <c r="D24" s="129">
        <f>'LEAP Region'!D14*1000</f>
        <v>325956.34108527133</v>
      </c>
      <c r="E24" s="130">
        <f>'LEAP Region'!E14*1000</f>
        <v>222453.17829457368</v>
      </c>
      <c r="G24" s="281" t="s">
        <v>122</v>
      </c>
      <c r="H24" s="281"/>
      <c r="I24" s="281"/>
      <c r="J24" s="281"/>
      <c r="K24" s="281"/>
      <c r="L24" s="281"/>
      <c r="M24" s="281"/>
      <c r="N24" s="281"/>
    </row>
    <row r="25" spans="2:18" ht="56.25" customHeight="1" x14ac:dyDescent="0.25">
      <c r="B25" s="178">
        <f>('LEAP Region'!B7+'LEAP Region'!B8)*(2.4-1)*1000</f>
        <v>3755.3426356589152</v>
      </c>
      <c r="C25" s="179">
        <f>('LEAP Region'!C7+'LEAP Region'!C8)*(2.6-1)*1000</f>
        <v>20127.156589147289</v>
      </c>
      <c r="D25" s="179">
        <f>('LEAP Region'!D7+'LEAP Region'!D8)*(2.8-1)*1000</f>
        <v>39625.339534883722</v>
      </c>
      <c r="E25" s="180">
        <f>('LEAP Region'!E7+'LEAP Region'!E8)*(2.3-1)*1000</f>
        <v>42446.471317829455</v>
      </c>
      <c r="G25" s="281" t="s">
        <v>178</v>
      </c>
      <c r="H25" s="281"/>
      <c r="I25" s="281"/>
      <c r="J25" s="281"/>
      <c r="K25" s="281"/>
      <c r="L25" s="281"/>
      <c r="M25" s="281"/>
      <c r="N25" s="281"/>
    </row>
    <row r="26" spans="2:18" ht="56.25" customHeight="1" x14ac:dyDescent="0.25">
      <c r="B26" s="128">
        <f>'LEAP Region'!H14*1000</f>
        <v>458410.79069767456</v>
      </c>
      <c r="C26" s="129">
        <f>'LEAP Region'!I14*1000</f>
        <v>374239.31782945752</v>
      </c>
      <c r="D26" s="129">
        <f>'LEAP Region'!J14*1000</f>
        <v>283038.13953488372</v>
      </c>
      <c r="E26" s="130">
        <f>'LEAP Region'!K14*1000</f>
        <v>159463.3178294574</v>
      </c>
      <c r="G26" s="281" t="s">
        <v>123</v>
      </c>
      <c r="H26" s="281"/>
      <c r="I26" s="281"/>
      <c r="J26" s="281"/>
      <c r="K26" s="281"/>
      <c r="L26" s="281"/>
      <c r="M26" s="281"/>
      <c r="N26" s="281"/>
    </row>
    <row r="27" spans="2:18" ht="56.25" customHeight="1" thickBot="1" x14ac:dyDescent="0.3">
      <c r="B27" s="181">
        <f>('LEAP Region'!H7+'LEAP Region'!H8)*(2.4-1)*1000</f>
        <v>5050.2883720930231</v>
      </c>
      <c r="C27" s="182">
        <f>('LEAP Region'!I7+'LEAP Region'!I8)*(2.6-1)*1000</f>
        <v>23087.032558139541</v>
      </c>
      <c r="D27" s="182">
        <f>('LEAP Region'!J7+'LEAP Region'!J8)*(2.8-1)*1000</f>
        <v>52445.302325581404</v>
      </c>
      <c r="E27" s="183">
        <f>('LEAP Region'!K7+'LEAP Region'!K8)*(3-1)*1000</f>
        <v>73256.930232558152</v>
      </c>
      <c r="G27" s="281" t="s">
        <v>178</v>
      </c>
      <c r="H27" s="281"/>
      <c r="I27" s="281"/>
      <c r="J27" s="281"/>
      <c r="K27" s="281"/>
      <c r="L27" s="281"/>
      <c r="M27" s="281"/>
      <c r="N27" s="281"/>
    </row>
    <row r="28" spans="2:18" ht="56.25" customHeight="1" thickTop="1" x14ac:dyDescent="0.25">
      <c r="B28" s="128">
        <f>B24+B25-B26-B27</f>
        <v>10822.046511627766</v>
      </c>
      <c r="C28" s="129">
        <f>C24+C25-C26-C27</f>
        <v>17296.775193798345</v>
      </c>
      <c r="D28" s="129">
        <f>D24+D25-D26-D27</f>
        <v>30098.238759689935</v>
      </c>
      <c r="E28" s="130">
        <f>E24+E25-E26-E27</f>
        <v>32179.401550387571</v>
      </c>
      <c r="G28" s="281" t="s">
        <v>177</v>
      </c>
      <c r="H28" s="281"/>
      <c r="I28" s="281"/>
      <c r="J28" s="281"/>
      <c r="K28" s="281"/>
      <c r="L28" s="281"/>
      <c r="M28" s="281"/>
      <c r="N28" s="281"/>
    </row>
    <row r="29" spans="2:18" ht="56.25" customHeight="1" x14ac:dyDescent="0.25">
      <c r="B29" s="282">
        <f>0.25*'1.Current Heat'!B10</f>
        <v>24.412500000000001</v>
      </c>
      <c r="C29" s="283"/>
      <c r="D29" s="283"/>
      <c r="E29" s="284"/>
      <c r="G29" s="281" t="s">
        <v>124</v>
      </c>
      <c r="H29" s="281"/>
      <c r="I29" s="281"/>
      <c r="J29" s="281"/>
      <c r="K29" s="281"/>
      <c r="L29" s="281"/>
      <c r="M29" s="281"/>
      <c r="N29" s="281"/>
      <c r="R29">
        <v>60</v>
      </c>
    </row>
    <row r="30" spans="2:18" ht="56.25" customHeight="1" x14ac:dyDescent="0.25">
      <c r="B30" s="128">
        <f>B28/$B$29</f>
        <v>443.29939627763508</v>
      </c>
      <c r="C30" s="129">
        <f>C28/$B$29</f>
        <v>708.52125729844727</v>
      </c>
      <c r="D30" s="129">
        <f>D28/$B$29</f>
        <v>1232.9027653738835</v>
      </c>
      <c r="E30" s="130">
        <f>E28/$B$29</f>
        <v>1318.1526492734283</v>
      </c>
      <c r="G30" s="281" t="s">
        <v>125</v>
      </c>
      <c r="H30" s="281"/>
      <c r="I30" s="281"/>
      <c r="J30" s="281"/>
      <c r="K30" s="281"/>
      <c r="L30" s="281"/>
      <c r="M30" s="281"/>
      <c r="N30" s="281"/>
      <c r="R30">
        <v>96</v>
      </c>
    </row>
    <row r="31" spans="2:18" ht="56.25" customHeight="1" x14ac:dyDescent="0.25">
      <c r="B31" s="131">
        <f>'1.Current Heat'!B8</f>
        <v>2281</v>
      </c>
      <c r="C31" s="132">
        <f t="shared" ref="C31:E31" si="0">B31*1.06</f>
        <v>2417.86</v>
      </c>
      <c r="D31" s="132">
        <f t="shared" si="0"/>
        <v>2562.9316000000003</v>
      </c>
      <c r="E31" s="133">
        <f t="shared" si="0"/>
        <v>2716.7074960000004</v>
      </c>
      <c r="G31" s="281" t="s">
        <v>126</v>
      </c>
      <c r="H31" s="281"/>
      <c r="I31" s="281"/>
      <c r="J31" s="281"/>
      <c r="K31" s="281"/>
      <c r="L31" s="281"/>
      <c r="M31" s="281"/>
      <c r="N31" s="281"/>
      <c r="O31" s="186">
        <f>(E31/B31)^(1/(E23-B23))-1</f>
        <v>5.006971033976404E-3</v>
      </c>
      <c r="R31">
        <f>R29+R30</f>
        <v>156</v>
      </c>
    </row>
    <row r="32" spans="2:18" ht="56.25" customHeight="1" x14ac:dyDescent="0.25">
      <c r="B32" s="134">
        <f>B30/B31</f>
        <v>0.19434432103359714</v>
      </c>
      <c r="C32" s="135">
        <f>C30/C31</f>
        <v>0.29303651050865115</v>
      </c>
      <c r="D32" s="135">
        <f>D30/D31</f>
        <v>0.48105176329086713</v>
      </c>
      <c r="E32" s="136">
        <f>E30/E31</f>
        <v>0.48520227194655191</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88926.66209732696</v>
      </c>
      <c r="C37" s="129">
        <f>('LEAP Region'!O11-'LEAP Region'!O6)*1000</f>
        <v>84583.961617546287</v>
      </c>
      <c r="D37" s="129">
        <f>('LEAP Region'!P11-'LEAP Region'!P6)*1000</f>
        <v>78267.306374228938</v>
      </c>
      <c r="E37" s="130">
        <f>('LEAP Region'!Q11-'LEAP Region'!Q6)*1000</f>
        <v>69483.20767649074</v>
      </c>
      <c r="G37" s="281" t="s">
        <v>179</v>
      </c>
      <c r="H37" s="281"/>
      <c r="I37" s="281"/>
      <c r="J37" s="281"/>
      <c r="K37" s="281"/>
      <c r="L37" s="281"/>
      <c r="M37" s="281"/>
      <c r="N37" s="281"/>
    </row>
    <row r="38" spans="2:34" ht="56.25" customHeight="1" x14ac:dyDescent="0.25">
      <c r="B38" s="128">
        <f>'LEAP Region'!N6*1000</f>
        <v>74418.094585332423</v>
      </c>
      <c r="C38" s="129">
        <f>'LEAP Region'!O6*1000</f>
        <v>79155.586017820446</v>
      </c>
      <c r="D38" s="129">
        <f>'LEAP Region'!P6*1000</f>
        <v>82610.006854009596</v>
      </c>
      <c r="E38" s="130">
        <f>'LEAP Region'!Q6*1000</f>
        <v>89913.639479095276</v>
      </c>
      <c r="F38" s="184"/>
      <c r="G38" s="281" t="s">
        <v>97</v>
      </c>
      <c r="H38" s="281"/>
      <c r="I38" s="281"/>
      <c r="J38" s="281"/>
      <c r="K38" s="281"/>
      <c r="L38" s="281"/>
      <c r="M38" s="281"/>
      <c r="N38" s="281"/>
    </row>
    <row r="39" spans="2:34" ht="56.25" customHeight="1" x14ac:dyDescent="0.25">
      <c r="B39" s="128">
        <f>0.005*B38</f>
        <v>372.09047292666213</v>
      </c>
      <c r="C39" s="129">
        <f>B39-(($B$39-$E$39)/3)</f>
        <v>1746.6209732693626</v>
      </c>
      <c r="D39" s="129">
        <f>C39-(($B$39-$E$39)/3)</f>
        <v>3121.151473612063</v>
      </c>
      <c r="E39" s="130">
        <f>0.05*E38</f>
        <v>4495.6819739547636</v>
      </c>
      <c r="G39" s="281" t="s">
        <v>195</v>
      </c>
      <c r="H39" s="281"/>
      <c r="I39" s="281"/>
      <c r="J39" s="281"/>
      <c r="K39" s="281"/>
      <c r="L39" s="281"/>
      <c r="M39" s="281"/>
      <c r="N39" s="281"/>
      <c r="V39" s="21"/>
      <c r="W39" s="21"/>
      <c r="X39" s="21"/>
      <c r="Y39" s="21"/>
      <c r="AH39" s="21"/>
    </row>
    <row r="40" spans="2:34" ht="56.25" customHeight="1" x14ac:dyDescent="0.25">
      <c r="B40" s="142">
        <f>B39*(2.4-1)</f>
        <v>520.92666209732693</v>
      </c>
      <c r="C40" s="143">
        <f>C39*(2.6-1)</f>
        <v>2794.5935572309804</v>
      </c>
      <c r="D40" s="143">
        <f>D39*(2.8-1)</f>
        <v>5618.0726525017126</v>
      </c>
      <c r="E40" s="144">
        <f>E39*(3-1)</f>
        <v>8991.3639479095273</v>
      </c>
      <c r="G40" s="281" t="s">
        <v>196</v>
      </c>
      <c r="H40" s="281"/>
      <c r="I40" s="281"/>
      <c r="J40" s="281"/>
      <c r="K40" s="281"/>
      <c r="L40" s="281"/>
      <c r="M40" s="281"/>
      <c r="N40" s="281"/>
      <c r="V40" s="21"/>
      <c r="W40" s="21"/>
      <c r="X40" s="21"/>
      <c r="Y40" s="21"/>
      <c r="AH40" s="21"/>
    </row>
    <row r="41" spans="2:34" ht="56.25" customHeight="1" x14ac:dyDescent="0.25">
      <c r="B41" s="128">
        <f>('LEAP Region'!T11-'LEAP Region'!T6)*1000</f>
        <v>88630.568882796433</v>
      </c>
      <c r="C41" s="129">
        <f>('LEAP Region'!U11-'LEAP Region'!U6)*1000</f>
        <v>82412.611377655965</v>
      </c>
      <c r="D41" s="129">
        <f>('LEAP Region'!V11-'LEAP Region'!V6)*1000</f>
        <v>74122.00137080194</v>
      </c>
      <c r="E41" s="130">
        <f>('LEAP Region'!W11-'LEAP Region'!W6)*1000</f>
        <v>62179.575051405081</v>
      </c>
      <c r="G41" s="281" t="s">
        <v>197</v>
      </c>
      <c r="H41" s="281"/>
      <c r="I41" s="281"/>
      <c r="J41" s="281"/>
      <c r="K41" s="281"/>
      <c r="L41" s="281"/>
      <c r="M41" s="281"/>
      <c r="N41" s="281"/>
      <c r="AH41" s="21"/>
    </row>
    <row r="42" spans="2:34" ht="56.25" customHeight="1" x14ac:dyDescent="0.25">
      <c r="B42" s="128">
        <f>'LEAP Region'!T6*1000</f>
        <v>73431.117203564092</v>
      </c>
      <c r="C42" s="129">
        <f>'LEAP Region'!U6*1000</f>
        <v>72740.233036326259</v>
      </c>
      <c r="D42" s="129">
        <f>'LEAP Region'!V6*1000</f>
        <v>70470.185058259085</v>
      </c>
      <c r="E42" s="130">
        <f>'LEAP Region'!W6*1000</f>
        <v>68298.834818368749</v>
      </c>
      <c r="G42" s="281" t="s">
        <v>98</v>
      </c>
      <c r="H42" s="281"/>
      <c r="I42" s="281"/>
      <c r="J42" s="281"/>
      <c r="K42" s="281"/>
      <c r="L42" s="281"/>
      <c r="M42" s="281"/>
      <c r="N42" s="281"/>
      <c r="V42" s="29"/>
      <c r="W42" s="29"/>
      <c r="X42" s="29"/>
      <c r="Y42" s="29"/>
      <c r="AH42" s="21"/>
    </row>
    <row r="43" spans="2:34" ht="56.25" customHeight="1" x14ac:dyDescent="0.25">
      <c r="B43" s="128">
        <f>B39</f>
        <v>372.09047292666213</v>
      </c>
      <c r="C43" s="129">
        <f>B43-(($B$43-$E$43)/3)</f>
        <v>2096.1206305688816</v>
      </c>
      <c r="D43" s="129">
        <f>C43-(($B$43-$E$43)/3)</f>
        <v>3820.1507882111009</v>
      </c>
      <c r="E43" s="130">
        <f>0.8*((E37+E39+E40-E41)/3)</f>
        <v>5544.1809458533207</v>
      </c>
      <c r="G43" s="281" t="s">
        <v>142</v>
      </c>
      <c r="H43" s="281"/>
      <c r="I43" s="281"/>
      <c r="J43" s="281"/>
      <c r="K43" s="281"/>
      <c r="L43" s="281"/>
      <c r="M43" s="281"/>
      <c r="N43" s="281"/>
      <c r="AH43" s="21"/>
    </row>
    <row r="44" spans="2:34" ht="56.25" customHeight="1" x14ac:dyDescent="0.25">
      <c r="B44" s="128">
        <f>B43*(2.4-1)</f>
        <v>520.92666209732693</v>
      </c>
      <c r="C44" s="129">
        <f>C43*(2.6-1)</f>
        <v>3353.7930089102106</v>
      </c>
      <c r="D44" s="129">
        <f>D43*(2.8-1)</f>
        <v>6876.2714187799811</v>
      </c>
      <c r="E44" s="130">
        <f>E43*(3-1)</f>
        <v>11088.361891706641</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296.09321453052121</v>
      </c>
      <c r="C45" s="129">
        <f>C37+C39+C40-C41-C43-C44</f>
        <v>1262.6511309115808</v>
      </c>
      <c r="D45" s="129">
        <f>D37+D39+D40-D41-D43-D44</f>
        <v>2188.1069225496849</v>
      </c>
      <c r="E45" s="130">
        <f>E37+E39+E40-E41-E43-E44</f>
        <v>4158.1357093899896</v>
      </c>
      <c r="F45" s="92"/>
      <c r="G45" s="281" t="s">
        <v>149</v>
      </c>
      <c r="H45" s="281"/>
      <c r="I45" s="281"/>
      <c r="J45" s="281"/>
      <c r="K45" s="281"/>
      <c r="L45" s="281"/>
      <c r="M45" s="281"/>
      <c r="N45" s="281"/>
      <c r="R45">
        <v>6</v>
      </c>
      <c r="AH45" s="21"/>
    </row>
    <row r="46" spans="2:34" ht="56.25" customHeight="1" x14ac:dyDescent="0.25">
      <c r="B46" s="285">
        <f ca="1">0.2*'1.Current Heat'!B24</f>
        <v>164.38876268081412</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1.8011767331410078</v>
      </c>
      <c r="C47" s="129">
        <f ca="1">C45/$B$46</f>
        <v>7.6808846926064573</v>
      </c>
      <c r="D47" s="129">
        <f ca="1">D45/$B$46</f>
        <v>13.310562637412318</v>
      </c>
      <c r="E47" s="130">
        <f ca="1">E45/$B$46</f>
        <v>25.29452525574175</v>
      </c>
      <c r="G47" s="281" t="s">
        <v>128</v>
      </c>
      <c r="H47" s="281"/>
      <c r="I47" s="281"/>
      <c r="J47" s="281"/>
      <c r="K47" s="281"/>
      <c r="L47" s="281"/>
      <c r="M47" s="281"/>
      <c r="N47" s="281"/>
    </row>
    <row r="48" spans="2:34" ht="56.25" customHeight="1" x14ac:dyDescent="0.25">
      <c r="B48" s="131">
        <f ca="1">'1.Current Heat'!B22</f>
        <v>144</v>
      </c>
      <c r="C48" s="132">
        <f t="shared" ref="C48:E48" ca="1" si="1">B48*1.06</f>
        <v>152.64000000000001</v>
      </c>
      <c r="D48" s="132">
        <f t="shared" ca="1" si="1"/>
        <v>161.79840000000002</v>
      </c>
      <c r="E48" s="133">
        <f t="shared" ca="1" si="1"/>
        <v>171.50630400000003</v>
      </c>
      <c r="G48" s="281" t="s">
        <v>194</v>
      </c>
      <c r="H48" s="281"/>
      <c r="I48" s="281"/>
      <c r="J48" s="281"/>
      <c r="K48" s="281"/>
      <c r="L48" s="281"/>
      <c r="M48" s="281"/>
      <c r="N48" s="281"/>
      <c r="O48" s="186">
        <f ca="1">(E48/B48)^(1/(E36-B36))-1</f>
        <v>5.006971033976404E-3</v>
      </c>
    </row>
    <row r="49" spans="1:14" ht="56.25" customHeight="1" x14ac:dyDescent="0.25">
      <c r="B49" s="134">
        <f ca="1">B47/B48</f>
        <v>1.2508171757923665E-2</v>
      </c>
      <c r="C49" s="135">
        <f ca="1">C47/C48</f>
        <v>5.0320261350933287E-2</v>
      </c>
      <c r="D49" s="135">
        <f ca="1">D47/D48</f>
        <v>8.2266342790857733E-2</v>
      </c>
      <c r="E49" s="136">
        <f ca="1">E47/E48</f>
        <v>0.14748452194353009</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97.65</v>
      </c>
      <c r="C54" s="147">
        <f>C32*($B$54-$B$29)+(1-C32)*$B$54</f>
        <v>90.496246187207561</v>
      </c>
      <c r="D54" s="147">
        <f>D32*($B$54-$B$29)+(1-D32)*$B$54</f>
        <v>85.906323828661726</v>
      </c>
      <c r="E54" s="148">
        <f>E32*($B$54-$B$29)+(1-E32)*$B$54</f>
        <v>85.804999536104816</v>
      </c>
      <c r="F54" s="1"/>
      <c r="G54" s="281" t="s">
        <v>109</v>
      </c>
      <c r="H54" s="281"/>
      <c r="I54" s="281"/>
      <c r="J54" s="281"/>
      <c r="K54" s="281"/>
      <c r="L54" s="281"/>
      <c r="M54" s="281"/>
      <c r="N54" s="281"/>
    </row>
    <row r="55" spans="1:14" ht="56.25" customHeight="1" x14ac:dyDescent="0.25">
      <c r="B55" s="149">
        <f>('LEAP Region'!H4+'LEAP Region'!H9+'LEAP Region'!H12)*1000</f>
        <v>169082.9147286822</v>
      </c>
      <c r="C55" s="150">
        <f>('LEAP Region'!I4+'LEAP Region'!I9+'LEAP Region'!I12)*1000</f>
        <v>122742.35658914731</v>
      </c>
      <c r="D55" s="150">
        <f>('LEAP Region'!J4+'LEAP Region'!J9+'LEAP Region'!J12)*1000</f>
        <v>78066.728682170549</v>
      </c>
      <c r="E55" s="151">
        <f>('LEAP Region'!K4+'LEAP Region'!K9+'LEAP Region'!K12)*1000</f>
        <v>11747.007751937985</v>
      </c>
      <c r="G55" s="281" t="s">
        <v>110</v>
      </c>
      <c r="H55" s="281"/>
      <c r="I55" s="281"/>
      <c r="J55" s="281"/>
      <c r="K55" s="281"/>
      <c r="L55" s="281"/>
      <c r="M55" s="281"/>
      <c r="N55" s="281"/>
    </row>
    <row r="56" spans="1:14" ht="56.25" customHeight="1" x14ac:dyDescent="0.25">
      <c r="B56" s="152">
        <f>'LEAP Region'!H4*1000/'2.Heat Targets'!B55</f>
        <v>7.6586433260393862E-3</v>
      </c>
      <c r="C56" s="153">
        <f>'LEAP Region'!I4*1000/'2.Heat Targets'!C55</f>
        <v>3.7678975131876409E-2</v>
      </c>
      <c r="D56" s="153">
        <f>'LEAP Region'!J4*1000/'2.Heat Targets'!D55</f>
        <v>9.7156398104265407E-2</v>
      </c>
      <c r="E56" s="154">
        <f>'LEAP Region'!K4*1000/'2.Heat Targets'!E55</f>
        <v>1</v>
      </c>
      <c r="G56" s="281" t="s">
        <v>137</v>
      </c>
      <c r="H56" s="281"/>
      <c r="I56" s="281"/>
      <c r="J56" s="281"/>
      <c r="K56" s="281"/>
      <c r="L56" s="281"/>
      <c r="M56" s="281"/>
      <c r="N56" s="281"/>
    </row>
    <row r="57" spans="1:14" ht="56.25" customHeight="1" x14ac:dyDescent="0.25">
      <c r="B57" s="128">
        <f>B55/B54</f>
        <v>1731.5198640930075</v>
      </c>
      <c r="C57" s="129">
        <f>C55/C54</f>
        <v>1356.3253920525383</v>
      </c>
      <c r="D57" s="129">
        <f>D55/D54</f>
        <v>908.74251397223009</v>
      </c>
      <c r="E57" s="130">
        <f>E55/E54</f>
        <v>136.90353493906969</v>
      </c>
      <c r="G57" s="281" t="s">
        <v>111</v>
      </c>
      <c r="H57" s="281"/>
      <c r="I57" s="281"/>
      <c r="J57" s="281"/>
      <c r="K57" s="281"/>
      <c r="L57" s="281"/>
      <c r="M57" s="281"/>
      <c r="N57" s="281"/>
    </row>
    <row r="58" spans="1:14" ht="56.25" customHeight="1" x14ac:dyDescent="0.25">
      <c r="B58" s="134">
        <f>B57/B31</f>
        <v>0.75910559583209447</v>
      </c>
      <c r="C58" s="135">
        <f>C57/C31</f>
        <v>0.56096109454333098</v>
      </c>
      <c r="D58" s="135">
        <f>D57/D31</f>
        <v>0.3545715047456709</v>
      </c>
      <c r="E58" s="136">
        <f>E57/E31</f>
        <v>5.0393181872042683E-2</v>
      </c>
      <c r="G58" s="281" t="s">
        <v>130</v>
      </c>
      <c r="H58" s="281"/>
      <c r="I58" s="281"/>
      <c r="J58" s="281"/>
      <c r="K58" s="281"/>
      <c r="L58" s="281"/>
      <c r="M58" s="281"/>
      <c r="N58" s="281"/>
    </row>
    <row r="59" spans="1:14" ht="56.25" customHeight="1" x14ac:dyDescent="0.25">
      <c r="B59" s="149">
        <f>('LEAP Region'!H5+'LEAP Region'!H13)*1000</f>
        <v>201179.06976744189</v>
      </c>
      <c r="C59" s="150">
        <f>('LEAP Region'!I5+'LEAP Region'!I13)*1000</f>
        <v>168620.43410852714</v>
      </c>
      <c r="D59" s="150">
        <f>('LEAP Region'!J5+'LEAP Region'!J13)*1000</f>
        <v>133656.8992248062</v>
      </c>
      <c r="E59" s="151">
        <f>('LEAP Region'!K5+'LEAP Region'!K13)*1000</f>
        <v>96750.945736434121</v>
      </c>
      <c r="G59" s="281" t="s">
        <v>112</v>
      </c>
      <c r="H59" s="281"/>
      <c r="I59" s="281"/>
      <c r="J59" s="281"/>
      <c r="K59" s="281"/>
      <c r="L59" s="281"/>
      <c r="M59" s="281"/>
      <c r="N59" s="281"/>
    </row>
    <row r="60" spans="1:14" ht="56.25" customHeight="1" x14ac:dyDescent="0.25">
      <c r="A60" s="2"/>
      <c r="B60" s="128">
        <f>B59/B54</f>
        <v>2060.2055275723696</v>
      </c>
      <c r="C60" s="129">
        <f>C59/C54</f>
        <v>1863.2865031739086</v>
      </c>
      <c r="D60" s="129">
        <f>D59/D54</f>
        <v>1555.8447069785216</v>
      </c>
      <c r="E60" s="130">
        <f>E59/E54</f>
        <v>1127.5676972147</v>
      </c>
      <c r="G60" s="281" t="s">
        <v>140</v>
      </c>
      <c r="H60" s="281"/>
      <c r="I60" s="281"/>
      <c r="J60" s="281"/>
      <c r="K60" s="281"/>
      <c r="L60" s="281"/>
      <c r="M60" s="281"/>
      <c r="N60" s="281"/>
    </row>
    <row r="61" spans="1:14" ht="56.25" customHeight="1" x14ac:dyDescent="0.25">
      <c r="B61" s="134">
        <f>B60/B31</f>
        <v>0.90320277403435756</v>
      </c>
      <c r="C61" s="135">
        <f>C60/C31</f>
        <v>0.77063457072531438</v>
      </c>
      <c r="D61" s="135">
        <f>D60/D31</f>
        <v>0.60705666393068058</v>
      </c>
      <c r="E61" s="136">
        <f>E60/E31</f>
        <v>0.41504935620595784</v>
      </c>
      <c r="G61" s="281" t="s">
        <v>131</v>
      </c>
      <c r="H61" s="281"/>
      <c r="I61" s="281"/>
      <c r="J61" s="281"/>
      <c r="K61" s="281"/>
      <c r="L61" s="281"/>
      <c r="M61" s="281"/>
      <c r="N61" s="281"/>
    </row>
    <row r="62" spans="1:14" ht="56.25" customHeight="1" x14ac:dyDescent="0.25">
      <c r="B62" s="149">
        <f>('LEAP Region'!H7+'LEAP Region'!H8)*1000</f>
        <v>3607.3488372093029</v>
      </c>
      <c r="C62" s="150">
        <f>('LEAP Region'!I7+'LEAP Region'!I8)*1000</f>
        <v>14429.395348837212</v>
      </c>
      <c r="D62" s="150">
        <f>('LEAP Region'!J7+'LEAP Region'!J8)*1000</f>
        <v>29136.279069767446</v>
      </c>
      <c r="E62" s="151">
        <f>('LEAP Region'!K7+'LEAP Region'!K8)*1000</f>
        <v>36628.465116279076</v>
      </c>
      <c r="G62" s="281" t="s">
        <v>113</v>
      </c>
      <c r="H62" s="281"/>
      <c r="I62" s="281"/>
      <c r="J62" s="281"/>
      <c r="K62" s="281"/>
      <c r="L62" s="281"/>
      <c r="M62" s="281"/>
      <c r="N62" s="281"/>
    </row>
    <row r="63" spans="1:14" ht="56.25" customHeight="1" x14ac:dyDescent="0.25">
      <c r="B63" s="128">
        <f>B62/((0.7*B54)/2.4)</f>
        <v>126.65697036504025</v>
      </c>
      <c r="C63" s="129">
        <f>C62/((0.75*C54)/2.6)</f>
        <v>552.75114696459138</v>
      </c>
      <c r="D63" s="129">
        <f>D62/((0.8*D54)/2.8)</f>
        <v>1187.0718266047199</v>
      </c>
      <c r="E63" s="130">
        <f>E62/((0.85*E54)/3)</f>
        <v>1506.6364011821661</v>
      </c>
      <c r="F63" s="91"/>
      <c r="G63" s="281" t="s">
        <v>180</v>
      </c>
      <c r="H63" s="281"/>
      <c r="I63" s="281"/>
      <c r="J63" s="281"/>
      <c r="K63" s="281"/>
      <c r="L63" s="281"/>
      <c r="M63" s="281"/>
      <c r="N63" s="281"/>
    </row>
    <row r="64" spans="1:14" ht="56.25" customHeight="1" x14ac:dyDescent="0.25">
      <c r="B64" s="134">
        <f>B63/B31</f>
        <v>5.5526948866742767E-2</v>
      </c>
      <c r="C64" s="135">
        <f>C63/C31</f>
        <v>0.22861172564358206</v>
      </c>
      <c r="D64" s="135">
        <f>D63/D31</f>
        <v>0.46316953078448125</v>
      </c>
      <c r="E64" s="136">
        <f>E63/E31</f>
        <v>0.55458175140330446</v>
      </c>
      <c r="G64" s="281" t="s">
        <v>114</v>
      </c>
      <c r="H64" s="281"/>
      <c r="I64" s="281"/>
      <c r="J64" s="281"/>
      <c r="K64" s="281"/>
      <c r="L64" s="281"/>
      <c r="M64" s="281"/>
      <c r="N64" s="281"/>
    </row>
    <row r="65" spans="1:20" ht="56.25" customHeight="1" x14ac:dyDescent="0.25">
      <c r="B65" s="149">
        <f>('LEAP Region'!H10+'LEAP Region'!H11)*1000</f>
        <v>65394.759689922495</v>
      </c>
      <c r="C65" s="150">
        <f>('LEAP Region'!I10+'LEAP Region'!I11)*1000</f>
        <v>51150.35658914729</v>
      </c>
      <c r="D65" s="150">
        <f>('LEAP Region'!J10+'LEAP Region'!J11)*1000</f>
        <v>32743.627906976748</v>
      </c>
      <c r="E65" s="151">
        <f>('LEAP Region'!K10+'LEAP Region'!K11)*1000</f>
        <v>11469.519379844962</v>
      </c>
      <c r="G65" s="281" t="s">
        <v>115</v>
      </c>
      <c r="H65" s="281"/>
      <c r="I65" s="281"/>
      <c r="J65" s="281"/>
      <c r="K65" s="281"/>
      <c r="L65" s="281"/>
      <c r="M65" s="281"/>
      <c r="N65" s="281"/>
    </row>
    <row r="66" spans="1:20" ht="56.25" customHeight="1" x14ac:dyDescent="0.25">
      <c r="B66" s="128">
        <f>B65/B54</f>
        <v>669.68519907754728</v>
      </c>
      <c r="C66" s="129">
        <f>C65/C54</f>
        <v>565.22075493975399</v>
      </c>
      <c r="D66" s="129">
        <f>D65/D54</f>
        <v>381.15503548124343</v>
      </c>
      <c r="E66" s="130">
        <f>E65/E54</f>
        <v>133.66959316885544</v>
      </c>
      <c r="G66" s="281" t="s">
        <v>146</v>
      </c>
      <c r="H66" s="281"/>
      <c r="I66" s="281"/>
      <c r="J66" s="281"/>
      <c r="K66" s="281"/>
      <c r="L66" s="281"/>
      <c r="M66" s="281"/>
      <c r="N66" s="281"/>
    </row>
    <row r="67" spans="1:20" ht="56.25" customHeight="1" x14ac:dyDescent="0.25">
      <c r="A67" s="21"/>
      <c r="B67" s="134">
        <f>B66/B31</f>
        <v>0.29359280976657048</v>
      </c>
      <c r="C67" s="135">
        <f>C66/C31</f>
        <v>0.23376901679160661</v>
      </c>
      <c r="D67" s="135">
        <f>D66/D31</f>
        <v>0.14871837995256815</v>
      </c>
      <c r="E67" s="136">
        <f>E66/E31</f>
        <v>4.9202791749081043E-2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821.94381340407051</v>
      </c>
      <c r="C72" s="156">
        <f ca="1">C49*($B$72-$B$46)+(1-C49)*$B$72</f>
        <v>813.67172790281541</v>
      </c>
      <c r="D72" s="156">
        <f ca="1">D49*($B$72-$B$46)+(1-D49)*$B$72</f>
        <v>808.42015110240573</v>
      </c>
      <c r="E72" s="157">
        <f ca="1">E49*($B$72-$B$46)+(1-E49)*$B$72</f>
        <v>797.69901532720212</v>
      </c>
      <c r="G72" s="280" t="s">
        <v>134</v>
      </c>
      <c r="H72" s="280"/>
      <c r="I72" s="280"/>
      <c r="J72" s="280"/>
      <c r="K72" s="280"/>
      <c r="L72" s="280"/>
      <c r="M72" s="280"/>
      <c r="N72" s="280"/>
    </row>
    <row r="73" spans="1:20" ht="56.25" customHeight="1" x14ac:dyDescent="0.25">
      <c r="B73" s="149">
        <f>('LEAP Region'!T4+'LEAP Region'!T5+'LEAP Region'!T9)*1000</f>
        <v>45203.564084989725</v>
      </c>
      <c r="C73" s="150">
        <f>('LEAP Region'!U4+'LEAP Region'!U5+'LEAP Region'!U9)*1000</f>
        <v>37899.931459904052</v>
      </c>
      <c r="D73" s="150">
        <f>('LEAP Region'!V4+'LEAP Region'!V5+'LEAP Region'!V9)*1000</f>
        <v>29411.92597669637</v>
      </c>
      <c r="E73" s="151">
        <f>('LEAP Region'!W4+'LEAP Region'!W5+'LEAP Region'!W9)*1000</f>
        <v>16285.126799177522</v>
      </c>
      <c r="G73" s="281" t="s">
        <v>133</v>
      </c>
      <c r="H73" s="281"/>
      <c r="I73" s="281"/>
      <c r="J73" s="281"/>
      <c r="K73" s="281"/>
      <c r="L73" s="281"/>
      <c r="M73" s="281"/>
      <c r="N73" s="281"/>
    </row>
    <row r="74" spans="1:20" ht="56.25" customHeight="1" x14ac:dyDescent="0.25">
      <c r="B74" s="158">
        <f ca="1">com_share_state_target*'LEAP Statewide'!T4*1000/'2.Heat Targets'!B73</f>
        <v>8.3172258043099374E-3</v>
      </c>
      <c r="C74" s="145">
        <f ca="1">com_share_state_target*'LEAP Statewide'!U4*1000/'2.Heat Targets'!C73</f>
        <v>6.2024231023281376E-2</v>
      </c>
      <c r="D74" s="145">
        <f ca="1">com_share_state_target*'LEAP Statewide'!V4*1000/'2.Heat Targets'!D73</f>
        <v>0.14995028148010453</v>
      </c>
      <c r="E74" s="159">
        <f ca="1">com_share_state_target*'LEAP Statewide'!W4*1000/'2.Heat Targets'!E73</f>
        <v>0.48156859755083464</v>
      </c>
      <c r="G74" s="281" t="s">
        <v>136</v>
      </c>
      <c r="H74" s="281"/>
      <c r="I74" s="281"/>
      <c r="J74" s="281"/>
      <c r="K74" s="281"/>
      <c r="L74" s="281"/>
      <c r="M74" s="281"/>
      <c r="N74" s="281"/>
    </row>
    <row r="75" spans="1:20" ht="56.25" customHeight="1" x14ac:dyDescent="0.25">
      <c r="B75" s="128">
        <f ca="1">B73/B72</f>
        <v>54.995929585234911</v>
      </c>
      <c r="C75" s="129">
        <f ca="1">C73/C72</f>
        <v>46.5788968206977</v>
      </c>
      <c r="D75" s="129">
        <f ca="1">D73/D72</f>
        <v>36.381980256910552</v>
      </c>
      <c r="E75" s="130">
        <f ca="1">E73/E72</f>
        <v>20.415127117209302</v>
      </c>
      <c r="G75" s="281" t="s">
        <v>135</v>
      </c>
      <c r="H75" s="281"/>
      <c r="I75" s="281"/>
      <c r="J75" s="281"/>
      <c r="K75" s="281"/>
      <c r="L75" s="281"/>
      <c r="M75" s="281"/>
      <c r="N75" s="281"/>
    </row>
    <row r="76" spans="1:20" ht="56.25" customHeight="1" x14ac:dyDescent="0.25">
      <c r="B76" s="134">
        <f ca="1">B75/B48</f>
        <v>0.38191617767524244</v>
      </c>
      <c r="C76" s="135">
        <f ca="1">C75/C48</f>
        <v>0.30515524646683501</v>
      </c>
      <c r="D76" s="135">
        <f ca="1">D75/D48</f>
        <v>0.22485995075915799</v>
      </c>
      <c r="E76" s="136">
        <f ca="1">E75/E48</f>
        <v>0.11903426661919843</v>
      </c>
      <c r="G76" s="281" t="s">
        <v>181</v>
      </c>
      <c r="H76" s="281"/>
      <c r="I76" s="281"/>
      <c r="J76" s="281"/>
      <c r="K76" s="281"/>
      <c r="L76" s="281"/>
      <c r="M76" s="281"/>
      <c r="N76" s="281"/>
    </row>
    <row r="77" spans="1:20" ht="56.25" customHeight="1" x14ac:dyDescent="0.25">
      <c r="B77" s="128">
        <f>'LEAP Region'!T10*1000</f>
        <v>13916.381082933518</v>
      </c>
      <c r="C77" s="129">
        <f>'LEAP Region'!U10*1000</f>
        <v>19048.663468128856</v>
      </c>
      <c r="D77" s="129">
        <f>'LEAP Region'!V10*1000</f>
        <v>24082.248115147366</v>
      </c>
      <c r="E77" s="130">
        <f>'LEAP Region'!W10*1000</f>
        <v>32767.649074708708</v>
      </c>
      <c r="G77" s="281" t="s">
        <v>138</v>
      </c>
      <c r="H77" s="281"/>
      <c r="I77" s="281"/>
      <c r="J77" s="281"/>
      <c r="K77" s="281"/>
      <c r="L77" s="281"/>
      <c r="M77" s="281"/>
      <c r="N77" s="281"/>
    </row>
    <row r="78" spans="1:20" ht="56.25" customHeight="1" x14ac:dyDescent="0.25">
      <c r="B78" s="128">
        <f ca="1">B77/B72</f>
        <v>16.931061291524284</v>
      </c>
      <c r="C78" s="129">
        <f ca="1">C77/C72</f>
        <v>23.410747620819411</v>
      </c>
      <c r="D78" s="129">
        <f ca="1">D77/D72</f>
        <v>29.789272425121393</v>
      </c>
      <c r="E78" s="130">
        <f ca="1">E77/E72</f>
        <v>41.0777103206878</v>
      </c>
      <c r="G78" s="281" t="s">
        <v>139</v>
      </c>
      <c r="H78" s="281"/>
      <c r="I78" s="281"/>
      <c r="J78" s="281"/>
      <c r="K78" s="281"/>
      <c r="L78" s="281"/>
      <c r="M78" s="281"/>
      <c r="N78" s="281"/>
    </row>
    <row r="79" spans="1:20" ht="56.25" customHeight="1" x14ac:dyDescent="0.25">
      <c r="B79" s="134">
        <f ca="1">B78/B48</f>
        <v>0.11757681452447419</v>
      </c>
      <c r="C79" s="135">
        <f ca="1">C78/C48</f>
        <v>0.15337229835442484</v>
      </c>
      <c r="D79" s="135">
        <f ca="1">D78/D48</f>
        <v>0.184113516728975</v>
      </c>
      <c r="E79" s="136">
        <f ca="1">E78/E48</f>
        <v>0.23951137283378104</v>
      </c>
      <c r="G79" s="281" t="s">
        <v>141</v>
      </c>
      <c r="H79" s="281"/>
      <c r="I79" s="281"/>
      <c r="J79" s="281"/>
      <c r="K79" s="281"/>
      <c r="L79" s="281"/>
      <c r="M79" s="281"/>
      <c r="N79" s="281"/>
    </row>
    <row r="80" spans="1:20" ht="56.25" customHeight="1" x14ac:dyDescent="0.25">
      <c r="B80" s="149">
        <f>B43</f>
        <v>372.09047292666213</v>
      </c>
      <c r="C80" s="150">
        <f>C43</f>
        <v>2096.1206305688816</v>
      </c>
      <c r="D80" s="150">
        <f>D43</f>
        <v>3820.1507882111009</v>
      </c>
      <c r="E80" s="151">
        <f>E43</f>
        <v>5544.1809458533207</v>
      </c>
      <c r="G80" s="281" t="s">
        <v>142</v>
      </c>
      <c r="H80" s="281"/>
      <c r="I80" s="281"/>
      <c r="J80" s="281"/>
      <c r="K80" s="281"/>
      <c r="L80" s="281"/>
      <c r="M80" s="281"/>
      <c r="N80" s="281"/>
    </row>
    <row r="81" spans="2:14" ht="56.25" customHeight="1" x14ac:dyDescent="0.25">
      <c r="B81" s="128">
        <f ca="1">B80/((0.7*B72)/2.4)</f>
        <v>1.5520997220436852</v>
      </c>
      <c r="C81" s="129">
        <f ca="1">C80/((0.75*C72)/2.6)</f>
        <v>8.9305690121918175</v>
      </c>
      <c r="D81" s="129">
        <f ca="1">D80/((0.8*D72)/2.8)</f>
        <v>16.539082728833602</v>
      </c>
      <c r="E81" s="130">
        <f ca="1">E80/((0.85*E72)/3)</f>
        <v>24.530176269462448</v>
      </c>
      <c r="G81" s="281" t="s">
        <v>143</v>
      </c>
      <c r="H81" s="281"/>
      <c r="I81" s="281"/>
      <c r="J81" s="281"/>
      <c r="K81" s="281"/>
      <c r="L81" s="281"/>
      <c r="M81" s="281"/>
      <c r="N81" s="281"/>
    </row>
    <row r="82" spans="2:14" ht="56.25" customHeight="1" x14ac:dyDescent="0.25">
      <c r="B82" s="134">
        <f ca="1">B81/B48</f>
        <v>1.0778470291970037E-2</v>
      </c>
      <c r="C82" s="135">
        <f ca="1">C81/C48</f>
        <v>5.8507396568342612E-2</v>
      </c>
      <c r="D82" s="135">
        <f ca="1">D81/D48</f>
        <v>0.1022203107622424</v>
      </c>
      <c r="E82" s="136">
        <f ca="1">E81/E48</f>
        <v>0.14302784036126417</v>
      </c>
      <c r="G82" s="281" t="s">
        <v>144</v>
      </c>
      <c r="H82" s="281"/>
      <c r="I82" s="281"/>
      <c r="J82" s="281"/>
      <c r="K82" s="281"/>
      <c r="L82" s="281"/>
      <c r="M82" s="281"/>
      <c r="N82" s="281"/>
    </row>
    <row r="83" spans="2:14" ht="56.25" customHeight="1" x14ac:dyDescent="0.25">
      <c r="B83" s="149">
        <f>('LEAP Region'!T7+'LEAP Region'!T8)*1000</f>
        <v>29510.623714873203</v>
      </c>
      <c r="C83" s="150">
        <f>('LEAP Region'!U7+'LEAP Region'!U8)*1000</f>
        <v>25464.016449623032</v>
      </c>
      <c r="D83" s="150">
        <f>('LEAP Region'!V7+'LEAP Region'!V8)*1000</f>
        <v>20627.827278958193</v>
      </c>
      <c r="E83" s="151">
        <f>('LEAP Region'!W7+'LEAP Region'!W8)*1000</f>
        <v>13126.799177518849</v>
      </c>
      <c r="G83" s="281" t="s">
        <v>145</v>
      </c>
      <c r="H83" s="281"/>
      <c r="I83" s="281"/>
      <c r="J83" s="281"/>
      <c r="K83" s="281"/>
      <c r="L83" s="281"/>
      <c r="M83" s="281"/>
      <c r="N83" s="281"/>
    </row>
    <row r="84" spans="2:14" ht="56.25" customHeight="1" x14ac:dyDescent="0.25">
      <c r="B84" s="128">
        <f ca="1">B83/B72</f>
        <v>35.903456213941567</v>
      </c>
      <c r="C84" s="129">
        <f ca="1">C83/C72</f>
        <v>31.295196301406264</v>
      </c>
      <c r="D84" s="129">
        <f ca="1">D83/D72</f>
        <v>25.516221052665454</v>
      </c>
      <c r="E84" s="130">
        <f ca="1">E83/E72</f>
        <v>16.455829736902039</v>
      </c>
      <c r="G84" s="281" t="s">
        <v>147</v>
      </c>
      <c r="H84" s="281"/>
      <c r="I84" s="281"/>
      <c r="J84" s="281"/>
      <c r="K84" s="281"/>
      <c r="L84" s="281"/>
      <c r="M84" s="281"/>
      <c r="N84" s="281"/>
    </row>
    <row r="85" spans="2:14" ht="56.25" customHeight="1" x14ac:dyDescent="0.25">
      <c r="B85" s="134">
        <f ca="1">B84/B48</f>
        <v>0.24932955704126089</v>
      </c>
      <c r="C85" s="135">
        <f ca="1">C84/C48</f>
        <v>0.20502618121990476</v>
      </c>
      <c r="D85" s="135">
        <f ca="1">D84/D48</f>
        <v>0.15770379096867121</v>
      </c>
      <c r="E85" s="136">
        <f ca="1">E84/E48</f>
        <v>9.5948833093050828E-2</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277.48837209302332</v>
      </c>
      <c r="C18" s="129">
        <f>'LEAP Region'!I26*1000</f>
        <v>7584.6821705426364</v>
      </c>
      <c r="D18" s="129">
        <f>'LEAP Region'!J26*1000</f>
        <v>22014.077519379851</v>
      </c>
      <c r="E18" s="130">
        <f>'LEAP Region'!K26*1000</f>
        <v>42640.71317829458</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19.518525586848064</v>
      </c>
      <c r="C20" s="129">
        <f>IF($F$22="adj",'1.Current Trans'!$O$13*C18/C19,C18/C19)</f>
        <v>582.00694477146953</v>
      </c>
      <c r="D20" s="129">
        <f>IF($F$22="adj",'1.Current Trans'!$O$13*D18/D19,D18/D19)</f>
        <v>1858.1636358679359</v>
      </c>
      <c r="E20" s="130">
        <f>IF($F$22="adj",'1.Current Trans'!$O$13*E18/E19,E18/E19)</f>
        <v>3999.1290202386481</v>
      </c>
      <c r="G20" s="303" t="s">
        <v>106</v>
      </c>
      <c r="H20" s="303"/>
      <c r="I20" s="303"/>
      <c r="J20" s="303"/>
      <c r="K20" s="303"/>
      <c r="L20" s="303"/>
      <c r="M20" s="303"/>
      <c r="N20" s="303"/>
    </row>
    <row r="21" spans="2:22" ht="54.75" customHeight="1" x14ac:dyDescent="0.25">
      <c r="B21" s="131">
        <f>'1.Current Trans'!B9+'1.Current Trans'!B32</f>
        <v>3784</v>
      </c>
      <c r="C21" s="132">
        <f t="shared" ref="C21:E21" si="0">B21*1.125</f>
        <v>4257</v>
      </c>
      <c r="D21" s="132">
        <f t="shared" si="0"/>
        <v>4789.125</v>
      </c>
      <c r="E21" s="133">
        <f t="shared" si="0"/>
        <v>5387.765625</v>
      </c>
      <c r="G21" s="303" t="s">
        <v>189</v>
      </c>
      <c r="H21" s="303"/>
      <c r="I21" s="303"/>
      <c r="J21" s="303"/>
      <c r="K21" s="303"/>
      <c r="L21" s="303"/>
      <c r="M21" s="303"/>
      <c r="N21" s="303"/>
      <c r="O21" s="186">
        <f>(E21/B21)^(1/(E17-B17))-1</f>
        <v>1.014682216717655E-2</v>
      </c>
    </row>
    <row r="22" spans="2:22" ht="54.75" customHeight="1" x14ac:dyDescent="0.25">
      <c r="B22" s="134">
        <f>B20/B21</f>
        <v>5.1581727237970569E-3</v>
      </c>
      <c r="C22" s="135">
        <f>C20/C21</f>
        <v>0.13671762855801492</v>
      </c>
      <c r="D22" s="135">
        <f>D20/D21</f>
        <v>0.38799647866111991</v>
      </c>
      <c r="E22" s="136">
        <f>E20/E21</f>
        <v>0.74226113357309376</v>
      </c>
      <c r="F22" s="54" t="s">
        <v>545</v>
      </c>
      <c r="G22" s="303" t="s">
        <v>191</v>
      </c>
      <c r="H22" s="303"/>
      <c r="I22" s="303"/>
      <c r="J22" s="303"/>
      <c r="K22" s="303"/>
      <c r="L22" s="303"/>
      <c r="M22" s="303"/>
      <c r="N22" s="303"/>
    </row>
    <row r="23" spans="2:22" ht="54.75" customHeight="1" x14ac:dyDescent="0.25">
      <c r="B23" s="166">
        <f>('LEAP Region'!H24+'LEAP Region'!H25+'LEAP Region'!H27+'LEAP Region'!H28)*1000</f>
        <v>316244.24806201557</v>
      </c>
      <c r="C23" s="167">
        <f>('LEAP Region'!I24+'LEAP Region'!I25+'LEAP Region'!I27+'LEAP Region'!I28)*1000</f>
        <v>226892.99224806204</v>
      </c>
      <c r="D23" s="167">
        <f>('LEAP Region'!J24+'LEAP Region'!J25+'LEAP Region'!J27+'LEAP Region'!J28)*1000</f>
        <v>129587.06976744188</v>
      </c>
      <c r="E23" s="168">
        <f>('LEAP Region'!K24+'LEAP Region'!K25+'LEAP Region'!K27+'LEAP Region'!K28)*1000</f>
        <v>18036.744186046515</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0.52808334972847915</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4718.097463282641</v>
      </c>
      <c r="C26" s="129">
        <f>IF($F$22="adj",'1.Current Trans'!$O$13*C23/C25,C23/C25)</f>
        <v>3958.6070035675612</v>
      </c>
      <c r="D26" s="129">
        <f>IF($F$22="adj",'1.Current Trans'!$O$13*D23/D25,D23/D25)</f>
        <v>2722.141403259609</v>
      </c>
      <c r="E26" s="130">
        <f>IF($F$22="adj",'1.Current Trans'!$O$13*E23/E25,E23/E25)</f>
        <v>475.98792163311322</v>
      </c>
      <c r="G26" s="303" t="s">
        <v>107</v>
      </c>
      <c r="H26" s="303"/>
      <c r="I26" s="303"/>
      <c r="J26" s="303"/>
      <c r="K26" s="303"/>
      <c r="L26" s="303"/>
      <c r="M26" s="303"/>
      <c r="N26" s="303"/>
    </row>
    <row r="27" spans="2:22" ht="54.75" customHeight="1" x14ac:dyDescent="0.25">
      <c r="B27" s="134">
        <f>B26/B21</f>
        <v>1.2468545093241652</v>
      </c>
      <c r="C27" s="135">
        <f>C26/C21</f>
        <v>0.92990533323175029</v>
      </c>
      <c r="D27" s="135">
        <f>D26/D21</f>
        <v>0.56840057489825568</v>
      </c>
      <c r="E27" s="136">
        <f>E26/E21</f>
        <v>8.8346070479469532E-2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1109953.4883720931</v>
      </c>
      <c r="C5" s="172">
        <f>'LEAP Region'!C49*1000000</f>
        <v>5179782.9457364343</v>
      </c>
      <c r="D5" s="172">
        <f>'LEAP Region'!D49*1000000</f>
        <v>8139658.9147286825</v>
      </c>
      <c r="E5" s="173">
        <f>'LEAP Region'!E49*1000000</f>
        <v>11932000.000000002</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213.45259391771023</v>
      </c>
      <c r="C7" s="172">
        <f>C5/13/$B$6</f>
        <v>996.11210494931424</v>
      </c>
      <c r="D7" s="172">
        <f>D5/13/$B$6</f>
        <v>1565.3190220632082</v>
      </c>
      <c r="E7" s="172">
        <f>E5/13/$B$6</f>
        <v>2294.6153846153848</v>
      </c>
      <c r="G7" s="281" t="s">
        <v>185</v>
      </c>
      <c r="H7" s="281"/>
      <c r="I7" s="281"/>
      <c r="J7" s="281"/>
      <c r="K7" s="281"/>
      <c r="L7" s="281"/>
      <c r="M7" s="281"/>
      <c r="N7" s="281"/>
    </row>
    <row r="8" spans="2:14" s="126" customFormat="1" ht="45" customHeight="1" x14ac:dyDescent="0.2">
      <c r="B8" s="36">
        <f>'2.Heat Targets'!B31*1.5</f>
        <v>3421.5</v>
      </c>
      <c r="C8" s="36">
        <f>'2.Heat Targets'!C31*1.5</f>
        <v>3626.79</v>
      </c>
      <c r="D8" s="36">
        <f>'2.Heat Targets'!D31*1.5</f>
        <v>3844.3974000000007</v>
      </c>
      <c r="E8" s="36">
        <f>'2.Heat Targets'!E31*1.5</f>
        <v>4075.0612440000004</v>
      </c>
      <c r="G8" s="281" t="s">
        <v>187</v>
      </c>
      <c r="H8" s="281"/>
      <c r="I8" s="281"/>
      <c r="J8" s="281"/>
      <c r="K8" s="281"/>
      <c r="L8" s="281"/>
      <c r="M8" s="281"/>
      <c r="N8" s="281"/>
    </row>
    <row r="9" spans="2:14" s="126" customFormat="1" ht="45" customHeight="1" x14ac:dyDescent="0.2">
      <c r="B9" s="174">
        <f>B7/B8</f>
        <v>6.2385677018182151E-2</v>
      </c>
      <c r="C9" s="175">
        <f>C7/C8</f>
        <v>0.27465392397941824</v>
      </c>
      <c r="D9" s="175">
        <f>D7/D8</f>
        <v>0.40716888999644207</v>
      </c>
      <c r="E9" s="176">
        <f>E7/E8</f>
        <v>0.56308733715202652</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14" zoomScale="70" zoomScaleNormal="70" workbookViewId="0">
      <selection activeCell="M17" sqref="M17"/>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c r="N16" s="222"/>
      <c r="O16" s="222"/>
      <c r="P16" s="222"/>
      <c r="Q16" s="223"/>
      <c r="R16" s="221"/>
    </row>
    <row r="17" spans="1:17" x14ac:dyDescent="0.25">
      <c r="B17" s="21"/>
      <c r="C17" s="21"/>
      <c r="D17" s="21"/>
      <c r="E17" s="21"/>
      <c r="H17" s="21"/>
      <c r="I17" s="21"/>
      <c r="J17" s="21"/>
      <c r="K17" s="30"/>
      <c r="L17" s="22"/>
      <c r="M17" s="222"/>
      <c r="N17" s="222"/>
      <c r="O17" s="222"/>
      <c r="P17" s="222"/>
      <c r="Q17" s="223"/>
    </row>
    <row r="18" spans="1:17" x14ac:dyDescent="0.25">
      <c r="B18" s="21"/>
      <c r="L18" s="22"/>
      <c r="M18" s="223"/>
      <c r="N18" s="223"/>
      <c r="O18" s="223"/>
      <c r="P18" s="223"/>
      <c r="Q18" s="223"/>
    </row>
    <row r="19" spans="1:17" x14ac:dyDescent="0.25">
      <c r="B19" s="21"/>
      <c r="C19" s="21"/>
      <c r="D19" s="21"/>
      <c r="E19" s="21"/>
      <c r="H19" s="21"/>
      <c r="I19" s="21"/>
      <c r="J19" s="21"/>
      <c r="K19" s="21"/>
      <c r="L19" s="22"/>
      <c r="M19" s="223"/>
      <c r="N19" s="224"/>
      <c r="O19" s="224"/>
      <c r="P19" s="224"/>
      <c r="Q19" s="224"/>
    </row>
    <row r="20" spans="1:17" x14ac:dyDescent="0.25">
      <c r="B20" s="21"/>
      <c r="C20" s="21"/>
      <c r="D20" s="21"/>
      <c r="E20" s="21"/>
      <c r="H20" s="23"/>
      <c r="I20" s="23"/>
      <c r="J20" s="23"/>
      <c r="K20" s="23"/>
      <c r="L20" s="22"/>
      <c r="M20" s="222"/>
      <c r="N20" s="224"/>
      <c r="O20" s="224"/>
      <c r="P20" s="224"/>
      <c r="Q20" s="224"/>
    </row>
    <row r="21" spans="1:17" x14ac:dyDescent="0.25">
      <c r="L21" s="22"/>
      <c r="M21" s="222"/>
      <c r="N21" s="224"/>
      <c r="O21" s="224"/>
      <c r="P21" s="224"/>
      <c r="Q21" s="224"/>
    </row>
    <row r="22" spans="1:17" ht="33.75" customHeight="1" x14ac:dyDescent="0.25">
      <c r="A22" s="231" t="s">
        <v>472</v>
      </c>
      <c r="B22" s="232"/>
      <c r="C22" s="232"/>
      <c r="D22" s="232"/>
      <c r="E22" s="233"/>
      <c r="G22" s="231" t="s">
        <v>473</v>
      </c>
      <c r="H22" s="232"/>
      <c r="I22" s="232"/>
      <c r="J22" s="232"/>
      <c r="K22" s="233"/>
      <c r="L22" s="22"/>
      <c r="M22" s="222"/>
      <c r="N22" s="224"/>
      <c r="O22" s="224"/>
      <c r="P22" s="224"/>
      <c r="Q22" s="224"/>
    </row>
    <row r="23" spans="1:17" x14ac:dyDescent="0.25">
      <c r="A23" s="14" t="s">
        <v>0</v>
      </c>
      <c r="B23" s="15">
        <v>2015</v>
      </c>
      <c r="C23" s="15">
        <v>2025</v>
      </c>
      <c r="D23" s="15">
        <v>2035</v>
      </c>
      <c r="E23" s="16">
        <v>2050</v>
      </c>
      <c r="G23" s="14" t="s">
        <v>0</v>
      </c>
      <c r="H23" s="15">
        <v>2015</v>
      </c>
      <c r="I23" s="15">
        <v>2025</v>
      </c>
      <c r="J23" s="15">
        <v>2035</v>
      </c>
      <c r="K23" s="16">
        <v>2050</v>
      </c>
      <c r="M23" s="222"/>
      <c r="N23" s="224"/>
      <c r="O23" s="224"/>
      <c r="P23" s="224"/>
      <c r="Q23" s="224"/>
    </row>
    <row r="24" spans="1:17" x14ac:dyDescent="0.25">
      <c r="A24" s="1" t="s">
        <v>21</v>
      </c>
      <c r="B24" s="4">
        <v>2912</v>
      </c>
      <c r="C24" s="4">
        <v>2370</v>
      </c>
      <c r="D24" s="4">
        <v>2020</v>
      </c>
      <c r="E24" s="5">
        <v>1696</v>
      </c>
      <c r="G24" s="1" t="s">
        <v>21</v>
      </c>
      <c r="H24" s="4">
        <v>2923</v>
      </c>
      <c r="I24" s="4">
        <v>2094</v>
      </c>
      <c r="J24" s="4">
        <v>1166</v>
      </c>
      <c r="K24" s="5">
        <v>91</v>
      </c>
      <c r="M24" s="222"/>
      <c r="N24" s="224"/>
      <c r="O24" s="224"/>
      <c r="P24" s="224"/>
      <c r="Q24" s="224"/>
    </row>
    <row r="25" spans="1:17" x14ac:dyDescent="0.25">
      <c r="A25" s="1" t="s">
        <v>22</v>
      </c>
      <c r="B25" s="4">
        <v>395</v>
      </c>
      <c r="C25" s="4">
        <v>319</v>
      </c>
      <c r="D25" s="4">
        <v>270</v>
      </c>
      <c r="E25" s="5">
        <v>224</v>
      </c>
      <c r="G25" s="1" t="s">
        <v>22</v>
      </c>
      <c r="H25" s="4">
        <v>390</v>
      </c>
      <c r="I25" s="4">
        <v>260</v>
      </c>
      <c r="J25" s="4">
        <v>141</v>
      </c>
      <c r="K25" s="5">
        <v>16</v>
      </c>
      <c r="M25" s="222"/>
      <c r="N25" s="224"/>
      <c r="O25" s="224"/>
      <c r="P25" s="224"/>
      <c r="Q25" s="224"/>
    </row>
    <row r="26" spans="1:17" x14ac:dyDescent="0.25">
      <c r="A26" s="1" t="s">
        <v>23</v>
      </c>
      <c r="B26" s="4">
        <v>3</v>
      </c>
      <c r="C26" s="4">
        <v>9</v>
      </c>
      <c r="D26" s="4">
        <v>14</v>
      </c>
      <c r="E26" s="5">
        <v>21</v>
      </c>
      <c r="G26" s="1" t="s">
        <v>23</v>
      </c>
      <c r="H26" s="4">
        <v>3</v>
      </c>
      <c r="I26" s="4">
        <v>82</v>
      </c>
      <c r="J26" s="4">
        <v>238</v>
      </c>
      <c r="K26" s="5">
        <v>461</v>
      </c>
      <c r="M26" s="222"/>
      <c r="N26" s="224"/>
      <c r="O26" s="224"/>
      <c r="P26" s="224"/>
      <c r="Q26" s="224"/>
    </row>
    <row r="27" spans="1:17" x14ac:dyDescent="0.25">
      <c r="A27" s="1" t="s">
        <v>20</v>
      </c>
      <c r="B27" s="4">
        <v>106</v>
      </c>
      <c r="C27" s="4">
        <v>100</v>
      </c>
      <c r="D27" s="4">
        <v>98</v>
      </c>
      <c r="E27" s="5">
        <v>97</v>
      </c>
      <c r="G27" s="1" t="s">
        <v>20</v>
      </c>
      <c r="H27" s="4">
        <v>98</v>
      </c>
      <c r="I27" s="4">
        <v>61</v>
      </c>
      <c r="J27" s="4">
        <v>33</v>
      </c>
      <c r="K27" s="5">
        <v>1</v>
      </c>
      <c r="M27" s="222"/>
      <c r="N27" s="224"/>
      <c r="O27" s="224"/>
      <c r="P27" s="224"/>
      <c r="Q27" s="224"/>
    </row>
    <row r="28" spans="1:17" x14ac:dyDescent="0.25">
      <c r="A28" s="1" t="s">
        <v>18</v>
      </c>
      <c r="B28" s="4">
        <v>1</v>
      </c>
      <c r="C28" s="4">
        <v>1</v>
      </c>
      <c r="D28" s="4">
        <v>1</v>
      </c>
      <c r="E28" s="5">
        <v>0</v>
      </c>
      <c r="G28" s="1" t="s">
        <v>18</v>
      </c>
      <c r="H28" s="4">
        <v>8</v>
      </c>
      <c r="I28" s="4">
        <v>38</v>
      </c>
      <c r="J28" s="4">
        <v>61</v>
      </c>
      <c r="K28" s="5">
        <v>87</v>
      </c>
      <c r="M28" s="222"/>
      <c r="N28" s="224"/>
      <c r="O28" s="224"/>
      <c r="P28" s="224"/>
      <c r="Q28" s="224"/>
    </row>
    <row r="29" spans="1:17" x14ac:dyDescent="0.25">
      <c r="A29" s="6" t="s">
        <v>24</v>
      </c>
      <c r="B29" s="18">
        <v>0</v>
      </c>
      <c r="C29" s="18">
        <v>0</v>
      </c>
      <c r="D29" s="18">
        <v>0</v>
      </c>
      <c r="E29" s="19">
        <v>0</v>
      </c>
      <c r="G29" s="1" t="s">
        <v>24</v>
      </c>
      <c r="H29" s="4">
        <v>0</v>
      </c>
      <c r="I29" s="4">
        <v>0</v>
      </c>
      <c r="J29" s="4">
        <v>0</v>
      </c>
      <c r="K29" s="5">
        <v>0</v>
      </c>
      <c r="M29" s="222"/>
      <c r="N29" s="225"/>
      <c r="O29" s="225"/>
      <c r="P29" s="225"/>
      <c r="Q29" s="225"/>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c r="O48" s="223"/>
      <c r="P48" s="223"/>
      <c r="Q48" s="226"/>
    </row>
    <row r="49" spans="1:17" ht="89.25" customHeight="1" x14ac:dyDescent="0.25">
      <c r="A49" s="234"/>
      <c r="B49" s="214">
        <v>12</v>
      </c>
      <c r="C49" s="213">
        <v>56</v>
      </c>
      <c r="D49" s="213">
        <v>88</v>
      </c>
      <c r="E49" s="213">
        <v>129</v>
      </c>
      <c r="M49" s="223"/>
      <c r="N49" s="223"/>
      <c r="O49" s="223"/>
      <c r="P49" s="223"/>
      <c r="Q49" s="223"/>
    </row>
    <row r="50" spans="1:17" x14ac:dyDescent="0.25">
      <c r="M50" s="223"/>
      <c r="N50" s="223"/>
      <c r="O50" s="223"/>
      <c r="P50" s="223"/>
      <c r="Q50" s="223"/>
    </row>
    <row r="51" spans="1:17" x14ac:dyDescent="0.25">
      <c r="M51" s="223"/>
      <c r="N51" s="223"/>
      <c r="O51" s="223"/>
      <c r="P51" s="223"/>
      <c r="Q51" s="223"/>
    </row>
    <row r="52" spans="1:17" x14ac:dyDescent="0.25">
      <c r="M52" s="223"/>
      <c r="N52" s="223"/>
      <c r="O52" s="223"/>
      <c r="P52" s="223"/>
      <c r="Q52" s="223"/>
    </row>
    <row r="53" spans="1:17" x14ac:dyDescent="0.25">
      <c r="M53" s="223"/>
      <c r="N53" s="223"/>
      <c r="O53" s="223"/>
      <c r="P53" s="223"/>
      <c r="Q53" s="223"/>
    </row>
    <row r="54" spans="1:17" x14ac:dyDescent="0.25">
      <c r="M54" s="223"/>
      <c r="N54" s="223"/>
      <c r="O54" s="223"/>
      <c r="P54" s="223"/>
      <c r="Q54" s="223"/>
    </row>
    <row r="55" spans="1:17" x14ac:dyDescent="0.25">
      <c r="M55" s="223"/>
      <c r="N55" s="223"/>
      <c r="O55" s="223"/>
      <c r="P55" s="223"/>
      <c r="Q55" s="223"/>
    </row>
    <row r="56" spans="1:17" x14ac:dyDescent="0.25">
      <c r="M56" s="223"/>
      <c r="N56" s="223"/>
      <c r="O56" s="223"/>
      <c r="P56" s="223"/>
      <c r="Q56" s="223"/>
    </row>
    <row r="57" spans="1:17" x14ac:dyDescent="0.25">
      <c r="M57" s="223"/>
      <c r="N57" s="223"/>
      <c r="O57" s="223"/>
      <c r="P57" s="223"/>
      <c r="Q57" s="223"/>
    </row>
    <row r="58" spans="1:17" x14ac:dyDescent="0.25">
      <c r="M58" s="223"/>
      <c r="N58" s="223"/>
      <c r="O58" s="223"/>
      <c r="P58" s="223"/>
      <c r="Q58" s="223"/>
    </row>
    <row r="60" spans="1:17" ht="15.75" thickBot="1" x14ac:dyDescent="0.3"/>
    <row r="61" spans="1:17" ht="15.75" thickBot="1" x14ac:dyDescent="0.3">
      <c r="Q61" s="229"/>
    </row>
    <row r="62" spans="1:17" x14ac:dyDescent="0.25">
      <c r="M62" s="227"/>
      <c r="N62" s="228"/>
      <c r="O62" s="228"/>
      <c r="P62" s="228"/>
      <c r="Q62" s="228"/>
    </row>
    <row r="63" spans="1:17" x14ac:dyDescent="0.25">
      <c r="M63" s="223"/>
      <c r="N63" s="223"/>
      <c r="O63" s="223"/>
      <c r="P63" s="223"/>
      <c r="Q63" s="223"/>
    </row>
    <row r="64" spans="1:17" x14ac:dyDescent="0.25">
      <c r="M64" s="223"/>
      <c r="N64" s="223"/>
      <c r="O64" s="223"/>
      <c r="P64" s="223"/>
      <c r="Q64" s="223"/>
    </row>
    <row r="65" spans="13:17" x14ac:dyDescent="0.25">
      <c r="M65" s="223"/>
      <c r="N65" s="223"/>
      <c r="O65" s="223"/>
      <c r="P65" s="223"/>
      <c r="Q65" s="223"/>
    </row>
    <row r="66" spans="13:17" x14ac:dyDescent="0.25">
      <c r="M66" s="223"/>
      <c r="N66" s="223"/>
      <c r="O66" s="223"/>
      <c r="P66" s="223"/>
      <c r="Q66" s="223"/>
    </row>
    <row r="67" spans="13:17" x14ac:dyDescent="0.25">
      <c r="M67" s="223"/>
      <c r="N67" s="223"/>
      <c r="O67" s="223"/>
      <c r="P67" s="223"/>
      <c r="Q67" s="223"/>
    </row>
    <row r="68" spans="13:17" x14ac:dyDescent="0.25">
      <c r="M68" s="223"/>
      <c r="N68" s="223"/>
      <c r="O68" s="223"/>
      <c r="P68" s="223"/>
      <c r="Q68" s="223"/>
    </row>
    <row r="69" spans="13:17" x14ac:dyDescent="0.25">
      <c r="M69" s="230"/>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2017-05-02T16:52:08Z</dcterms:modified>
</cp:coreProperties>
</file>