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Newport Town\"/>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9" i="198"/>
  <c r="P69" i="198"/>
  <c r="Q69"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P58" i="198"/>
  <c r="Q58" i="198"/>
  <c r="O58" i="198"/>
  <c r="N58"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E34" i="201"/>
  <c r="D34" i="201"/>
  <c r="G34" i="201" s="1"/>
  <c r="D33" i="201"/>
  <c r="G33" i="201" s="1"/>
  <c r="D32" i="201"/>
  <c r="G32" i="201" s="1"/>
  <c r="D31" i="201"/>
  <c r="G31" i="201" s="1"/>
  <c r="D30" i="201"/>
  <c r="G30" i="201" s="1"/>
  <c r="D29" i="201"/>
  <c r="G29" i="201" s="1"/>
  <c r="D28" i="201"/>
  <c r="G28" i="201" s="1"/>
  <c r="D27" i="201"/>
  <c r="G27" i="201" s="1"/>
  <c r="E26" i="201"/>
  <c r="D26" i="201"/>
  <c r="G26" i="201" s="1"/>
  <c r="D25" i="201"/>
  <c r="G25" i="201" s="1"/>
  <c r="D24" i="201"/>
  <c r="G24" i="201" s="1"/>
  <c r="D23" i="201"/>
  <c r="G23" i="201" s="1"/>
  <c r="G22" i="201"/>
  <c r="D22" i="201"/>
  <c r="G21" i="201"/>
  <c r="D21" i="201"/>
  <c r="D20" i="201"/>
  <c r="D19" i="201"/>
  <c r="G19" i="201" s="1"/>
  <c r="G18" i="201"/>
  <c r="D18" i="201"/>
  <c r="G17" i="201"/>
  <c r="E17" i="201"/>
  <c r="D17" i="201"/>
  <c r="D16" i="201"/>
  <c r="D15" i="201"/>
  <c r="G15" i="201" s="1"/>
  <c r="G14" i="201"/>
  <c r="D14" i="201"/>
  <c r="G13" i="201"/>
  <c r="D13" i="201"/>
  <c r="D12" i="201"/>
  <c r="D11" i="201"/>
  <c r="G11" i="201" s="1"/>
  <c r="G10" i="201"/>
  <c r="D10" i="201"/>
  <c r="E10" i="201" s="1"/>
  <c r="G9" i="201"/>
  <c r="D9" i="201"/>
  <c r="D8" i="201"/>
  <c r="E5" i="201"/>
  <c r="E4" i="201"/>
  <c r="D3" i="201"/>
  <c r="E3" i="201" s="1"/>
  <c r="C3" i="201"/>
  <c r="B3" i="201"/>
  <c r="G8" i="201" l="1"/>
  <c r="E8" i="201"/>
  <c r="H14" i="201"/>
  <c r="H19" i="201"/>
  <c r="E56" i="201"/>
  <c r="E54" i="201"/>
  <c r="E52" i="201"/>
  <c r="H52" i="201" s="1"/>
  <c r="E50" i="201"/>
  <c r="H50" i="201" s="1"/>
  <c r="E48" i="201"/>
  <c r="E46" i="201"/>
  <c r="E44" i="201"/>
  <c r="H44" i="201" s="1"/>
  <c r="E42" i="201"/>
  <c r="H42" i="201" s="1"/>
  <c r="H10" i="201"/>
  <c r="E13" i="201"/>
  <c r="H15" i="201"/>
  <c r="G20" i="201"/>
  <c r="H20" i="201" s="1"/>
  <c r="E20" i="201"/>
  <c r="E22" i="201"/>
  <c r="E24" i="201"/>
  <c r="H24" i="201" s="1"/>
  <c r="E32" i="201"/>
  <c r="E40" i="201"/>
  <c r="E9" i="201"/>
  <c r="H9" i="201" s="1"/>
  <c r="G16" i="201"/>
  <c r="H16" i="201" s="1"/>
  <c r="E16" i="201"/>
  <c r="E18" i="201"/>
  <c r="H18" i="201" s="1"/>
  <c r="H22" i="201"/>
  <c r="E30" i="201"/>
  <c r="E38" i="201"/>
  <c r="G12" i="201"/>
  <c r="E12" i="201"/>
  <c r="E14" i="201"/>
  <c r="E21" i="201"/>
  <c r="E28" i="201"/>
  <c r="H28" i="201" s="1"/>
  <c r="E36" i="201"/>
  <c r="H13" i="201"/>
  <c r="H17" i="201"/>
  <c r="H21" i="201"/>
  <c r="H27" i="201"/>
  <c r="H29" i="201"/>
  <c r="H35" i="201"/>
  <c r="H37" i="201"/>
  <c r="H43" i="201"/>
  <c r="H45" i="201"/>
  <c r="H51" i="201"/>
  <c r="H53" i="201"/>
  <c r="E11" i="201"/>
  <c r="H11" i="201" s="1"/>
  <c r="E15" i="201"/>
  <c r="E19" i="201"/>
  <c r="E23" i="201"/>
  <c r="H23" i="201" s="1"/>
  <c r="E25" i="201"/>
  <c r="H25" i="201" s="1"/>
  <c r="E27" i="201"/>
  <c r="E29" i="201"/>
  <c r="E31" i="201"/>
  <c r="H31" i="201" s="1"/>
  <c r="E33" i="201"/>
  <c r="H33" i="201" s="1"/>
  <c r="E35" i="201"/>
  <c r="E37" i="201"/>
  <c r="E39" i="201"/>
  <c r="H39" i="201" s="1"/>
  <c r="E41" i="201"/>
  <c r="H41" i="201" s="1"/>
  <c r="E43" i="201"/>
  <c r="E45" i="201"/>
  <c r="E47" i="201"/>
  <c r="H47" i="201" s="1"/>
  <c r="E49" i="201"/>
  <c r="H49" i="201" s="1"/>
  <c r="E51" i="201"/>
  <c r="E53" i="201"/>
  <c r="E55" i="201"/>
  <c r="H55" i="201" s="1"/>
  <c r="E57" i="201"/>
  <c r="H57" i="201" s="1"/>
  <c r="H26" i="201"/>
  <c r="H30" i="201"/>
  <c r="H32" i="201"/>
  <c r="H34" i="201"/>
  <c r="H36" i="201"/>
  <c r="H38" i="201"/>
  <c r="H40" i="201"/>
  <c r="H46" i="201"/>
  <c r="H48" i="201"/>
  <c r="H54" i="201"/>
  <c r="H56" i="201"/>
  <c r="H12" i="201" l="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P29" i="198"/>
  <c r="Q29" i="198"/>
  <c r="N2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O29" i="198" s="1"/>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S64" i="197"/>
  <c r="AE68" i="197"/>
  <c r="AA88" i="197"/>
  <c r="T96" i="197"/>
  <c r="AB112" i="197"/>
  <c r="S116" i="197"/>
  <c r="AE120" i="197"/>
  <c r="AA124" i="197"/>
  <c r="X128" i="197"/>
  <c r="S132" i="197"/>
  <c r="AB140" i="197"/>
  <c r="W144" i="197"/>
  <c r="AA145" i="197"/>
  <c r="T148" i="197"/>
  <c r="AE152" i="197"/>
  <c r="AA156" i="197"/>
  <c r="X160" i="197"/>
  <c r="S164" i="197"/>
  <c r="AB168" i="197"/>
  <c r="AB172" i="197"/>
  <c r="T176" i="197"/>
  <c r="AE176" i="197"/>
  <c r="T180" i="197"/>
  <c r="AE180" i="197"/>
  <c r="AD181" i="197"/>
  <c r="W184" i="197"/>
  <c r="V188" i="197"/>
  <c r="AD188" i="197"/>
  <c r="Y192" i="197"/>
  <c r="V196" i="197"/>
  <c r="AD196" i="197"/>
  <c r="Y200" i="197"/>
  <c r="V204" i="197"/>
  <c r="AD204" i="197"/>
  <c r="Y208" i="197"/>
  <c r="V212" i="197"/>
  <c r="AD212" i="197"/>
  <c r="Y216" i="197"/>
  <c r="V220" i="197"/>
  <c r="AD220" i="197"/>
  <c r="Y224" i="197"/>
  <c r="V228" i="197"/>
  <c r="AD228" i="197"/>
  <c r="Y232" i="197"/>
  <c r="T236" i="197"/>
  <c r="Y236" i="197"/>
  <c r="AD236" i="197"/>
  <c r="X237" i="197"/>
  <c r="V240" i="197"/>
  <c r="AB240" i="197"/>
  <c r="V244" i="197"/>
  <c r="AB244" i="197"/>
  <c r="U245" i="197"/>
  <c r="X248" i="197"/>
  <c r="AC248" i="197"/>
  <c r="R12" i="197"/>
  <c r="R28" i="197"/>
  <c r="R44" i="197"/>
  <c r="R60" i="197"/>
  <c r="R76" i="197"/>
  <c r="R92" i="197"/>
  <c r="R108"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U235" i="197" l="1"/>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9" i="186"/>
  <c r="F37" i="186"/>
  <c r="F35" i="186"/>
  <c r="F33" i="186"/>
  <c r="F32" i="186"/>
  <c r="F29" i="186"/>
  <c r="F28" i="186"/>
  <c r="F27" i="186"/>
  <c r="E41" i="186"/>
  <c r="F38" i="186" s="1"/>
  <c r="F31" i="186" l="1"/>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C83" i="188" s="1"/>
  <c r="P9" i="199"/>
  <c r="W8" i="199"/>
  <c r="N8" i="199"/>
  <c r="V5" i="199"/>
  <c r="D73" i="188" s="1"/>
  <c r="Q5" i="199"/>
  <c r="T4" i="199"/>
  <c r="U8" i="199"/>
  <c r="P10" i="199"/>
  <c r="W9" i="199"/>
  <c r="N9" i="199"/>
  <c r="V6" i="199"/>
  <c r="D42" i="188" s="1"/>
  <c r="Q6" i="199"/>
  <c r="E38" i="188" s="1"/>
  <c r="T5" i="199"/>
  <c r="O10" i="199"/>
  <c r="O4" i="199"/>
  <c r="B83" i="188"/>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C73" i="188" l="1"/>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<sst xmlns="http://schemas.openxmlformats.org/spreadsheetml/2006/main" count="1659" uniqueCount="573">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</sst>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8">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952.00000000000011</c:v>
                </c:pt>
                <c:pt idx="1">
                  <c:v>3400.0000000000005</c:v>
                </c:pt>
                <c:pt idx="2">
                  <c:v>5576.0000000000009</c:v>
                </c:pt>
                <c:pt idx="3">
                  <c:v>8636.0000000000018</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126412</c:v>
                </c:pt>
                <c:pt idx="1">
                  <c:v>99960.000000000015</c:v>
                </c:pt>
                <c:pt idx="2">
                  <c:v>76704.000000000015</c:v>
                </c:pt>
                <c:pt idx="3">
                  <c:v>51000.000000000007</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14076</c:v>
                </c:pt>
                <c:pt idx="1">
                  <c:v>12716.000000000002</c:v>
                </c:pt>
                <c:pt idx="2">
                  <c:v>6936.0000000000009</c:v>
                </c:pt>
                <c:pt idx="3">
                  <c:v>2108</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1564</c:v>
                </c:pt>
                <c:pt idx="1">
                  <c:v>7480</c:v>
                </c:pt>
                <c:pt idx="2">
                  <c:v>15300</c:v>
                </c:pt>
                <c:pt idx="3">
                  <c:v>18360.000000000004</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1088</c:v>
                </c:pt>
                <c:pt idx="1">
                  <c:v>3128</c:v>
                </c:pt>
                <c:pt idx="2">
                  <c:v>6120</c:v>
                </c:pt>
                <c:pt idx="3">
                  <c:v>8568.0000000000018</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8160</c:v>
                </c:pt>
                <c:pt idx="1">
                  <c:v>9452</c:v>
                </c:pt>
                <c:pt idx="2">
                  <c:v>10948</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48076</c:v>
                </c:pt>
                <c:pt idx="1">
                  <c:v>37604</c:v>
                </c:pt>
                <c:pt idx="2">
                  <c:v>24072.000000000004</c:v>
                </c:pt>
                <c:pt idx="3">
                  <c:v>8432</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115192</c:v>
                </c:pt>
                <c:pt idx="1">
                  <c:v>77384</c:v>
                </c:pt>
                <c:pt idx="2">
                  <c:v>40868</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21488.000000000004</c:v>
                </c:pt>
                <c:pt idx="1">
                  <c:v>24004</c:v>
                </c:pt>
                <c:pt idx="2">
                  <c:v>21556</c:v>
                </c:pt>
                <c:pt idx="3">
                  <c:v>20128</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8908.0000000000018</c:v>
                </c:pt>
                <c:pt idx="1">
                  <c:v>14892.000000000002</c:v>
                </c:pt>
                <c:pt idx="2">
                  <c:v>31552.000000000004</c:v>
                </c:pt>
                <c:pt idx="3">
                  <c:v>46308</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591967440"/>
        <c:axId val="591967768"/>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59196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768"/>
        <c:crosses val="autoZero"/>
        <c:auto val="1"/>
        <c:lblAlgn val="ctr"/>
        <c:lblOffset val="100"/>
        <c:noMultiLvlLbl val="0"/>
      </c:catAx>
      <c:valAx>
        <c:axId val="591967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440"/>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200</c:v>
                </c:pt>
                <c:pt idx="1">
                  <c:v>1225</c:v>
                </c:pt>
                <c:pt idx="2">
                  <c:v>2300.0000000000005</c:v>
                </c:pt>
                <c:pt idx="3">
                  <c:v>4100.0000000000009</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10200.000000000002</c:v>
                </c:pt>
                <c:pt idx="1">
                  <c:v>7600.0000000000009</c:v>
                </c:pt>
                <c:pt idx="2">
                  <c:v>4675</c:v>
                </c:pt>
                <c:pt idx="3">
                  <c:v>25</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18600</c:v>
                </c:pt>
                <c:pt idx="1">
                  <c:v>18425</c:v>
                </c:pt>
                <c:pt idx="2">
                  <c:v>17850</c:v>
                </c:pt>
                <c:pt idx="3">
                  <c:v>17300</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7475.0000000000009</c:v>
                </c:pt>
                <c:pt idx="1">
                  <c:v>6450</c:v>
                </c:pt>
                <c:pt idx="2">
                  <c:v>5225.0000000000009</c:v>
                </c:pt>
                <c:pt idx="3">
                  <c:v>3325</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1050</c:v>
                </c:pt>
                <c:pt idx="1">
                  <c:v>775</c:v>
                </c:pt>
                <c:pt idx="2">
                  <c:v>475.00000000000006</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3525.0000000000005</c:v>
                </c:pt>
                <c:pt idx="1">
                  <c:v>4825</c:v>
                </c:pt>
                <c:pt idx="2">
                  <c:v>6100.0000000000009</c:v>
                </c:pt>
                <c:pt idx="3">
                  <c:v>8300</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350.00000000000006</c:v>
                </c:pt>
                <c:pt idx="1">
                  <c:v>2175.0000000000005</c:v>
                </c:pt>
                <c:pt idx="2">
                  <c:v>4125</c:v>
                </c:pt>
                <c:pt idx="3">
                  <c:v>7325</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630624616"/>
        <c:axId val="630625928"/>
      </c:barChart>
      <c:catAx>
        <c:axId val="63062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5928"/>
        <c:crosses val="autoZero"/>
        <c:auto val="1"/>
        <c:lblAlgn val="ctr"/>
        <c:lblOffset val="100"/>
        <c:noMultiLvlLbl val="0"/>
      </c:catAx>
      <c:valAx>
        <c:axId val="6306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46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78920.999999999985</c:v>
                </c:pt>
                <c:pt idx="1">
                  <c:v>56538</c:v>
                </c:pt>
                <c:pt idx="2">
                  <c:v>31482</c:v>
                </c:pt>
                <c:pt idx="3">
                  <c:v>2457</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10530</c:v>
                </c:pt>
                <c:pt idx="1">
                  <c:v>7020</c:v>
                </c:pt>
                <c:pt idx="2">
                  <c:v>3807</c:v>
                </c:pt>
                <c:pt idx="3">
                  <c:v>432</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81</c:v>
                </c:pt>
                <c:pt idx="1">
                  <c:v>2214</c:v>
                </c:pt>
                <c:pt idx="2">
                  <c:v>6426</c:v>
                </c:pt>
                <c:pt idx="3">
                  <c:v>12447</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2646</c:v>
                </c:pt>
                <c:pt idx="1">
                  <c:v>1647</c:v>
                </c:pt>
                <c:pt idx="2">
                  <c:v>891</c:v>
                </c:pt>
                <c:pt idx="3">
                  <c:v>27</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216</c:v>
                </c:pt>
                <c:pt idx="1">
                  <c:v>1026</c:v>
                </c:pt>
                <c:pt idx="2">
                  <c:v>1647</c:v>
                </c:pt>
                <c:pt idx="3">
                  <c:v>2348.9999999999995</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7128</c:v>
                </c:pt>
                <c:pt idx="2">
                  <c:v>20628</c:v>
                </c:pt>
                <c:pt idx="3">
                  <c:v>37314</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623889856"/>
        <c:axId val="623884936"/>
      </c:barChart>
      <c:catAx>
        <c:axId val="6238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4936"/>
        <c:crosses val="autoZero"/>
        <c:auto val="1"/>
        <c:lblAlgn val="ctr"/>
        <c:lblOffset val="100"/>
        <c:noMultiLvlLbl val="0"/>
      </c:catAx>
      <c:valAx>
        <c:axId val="62388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9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0.24220014751946969</v>
      </c>
      <c r="I4" s="4">
        <f>res_share_state_target*'LEAP Statewide'!I4</f>
        <v>1.4644660082572587</v>
      </c>
      <c r="J4" s="4">
        <f>res_share_state_target*'LEAP Statewide'!J4</f>
        <v>2.7627714501930205</v>
      </c>
      <c r="K4" s="5">
        <f>res_share_state_target*'LEAP Statewide'!K4</f>
        <v>5.0862030979088635</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7.3596279794192088E-2</v>
      </c>
      <c r="U4" s="4">
        <f ca="1">com_share_state_target*'LEAP Statewide'!U4</f>
        <v>0.46015538046077387</v>
      </c>
      <c r="V4" s="4">
        <f ca="1">com_share_state_target*'LEAP Statewide'!V4</f>
        <v>0.86332723360517083</v>
      </c>
      <c r="W4" s="5">
        <f ca="1">com_share_state_target*'LEAP Statewide'!W4</f>
        <v>1.5351612343477834</v>
      </c>
      <c r="Y4" s="23"/>
    </row>
    <row r="5" spans="1:25" x14ac:dyDescent="0.25">
      <c r="A5" s="1" t="s">
        <v>3</v>
      </c>
      <c r="B5" s="4">
        <f>res_share_state_target*'LEAP Statewide'!B5</f>
        <v>21.344592070349545</v>
      </c>
      <c r="C5" s="4">
        <f>res_share_state_target*'LEAP Statewide'!C5</f>
        <v>19.663272441638806</v>
      </c>
      <c r="D5" s="4">
        <f>res_share_state_target*'LEAP Statewide'!D5</f>
        <v>18.297376260860403</v>
      </c>
      <c r="E5" s="5">
        <f>res_share_state_target*'LEAP Statewide'!E5</f>
        <v>16.570996139587905</v>
      </c>
      <c r="G5" s="1" t="s">
        <v>3</v>
      </c>
      <c r="H5" s="4">
        <f>res_share_state_target*'LEAP Statewide'!H5</f>
        <v>21.409366528407077</v>
      </c>
      <c r="I5" s="4">
        <f>res_share_state_target*'LEAP Statewide'!I5</f>
        <v>20.096979682545765</v>
      </c>
      <c r="J5" s="4">
        <f>res_share_state_target*'LEAP Statewide'!J5</f>
        <v>18.76206259040357</v>
      </c>
      <c r="K5" s="5">
        <f>res_share_state_target*'LEAP Statewide'!K5</f>
        <v>17.866485300738557</v>
      </c>
      <c r="L5" s="21"/>
      <c r="M5" s="1" t="s">
        <v>14</v>
      </c>
      <c r="N5" s="4">
        <f ca="1">com_share_state_target*'LEAP Statewide'!N5</f>
        <v>6.9201938816189354</v>
      </c>
      <c r="O5" s="4">
        <f ca="1">com_share_state_target*'LEAP Statewide'!O5</f>
        <v>5.5911736833937198</v>
      </c>
      <c r="P5" s="4">
        <f ca="1">com_share_state_target*'LEAP Statewide'!P5</f>
        <v>4.0602996109756946</v>
      </c>
      <c r="Q5" s="5">
        <f ca="1">com_share_state_target*'LEAP Statewide'!Q5</f>
        <v>1.6577026128400547</v>
      </c>
      <c r="R5" s="2"/>
      <c r="S5" s="1" t="s">
        <v>14</v>
      </c>
      <c r="T5" s="4">
        <f ca="1">com_share_state_target*'LEAP Statewide'!T5</f>
        <v>6.8442753891127905</v>
      </c>
      <c r="U5" s="4">
        <f ca="1">com_share_state_target*'LEAP Statewide'!U5</f>
        <v>5.1194072393731824</v>
      </c>
      <c r="V5" s="4">
        <f ca="1">com_share_state_target*'LEAP Statewide'!V5</f>
        <v>3.1748220407334369</v>
      </c>
      <c r="W5" s="5">
        <f ca="1">com_share_state_target*'LEAP Statewide'!W5</f>
        <v>8.2885130642002744E-2</v>
      </c>
      <c r="Y5" s="92"/>
    </row>
    <row r="6" spans="1:25" x14ac:dyDescent="0.25">
      <c r="A6" s="1" t="s">
        <v>4</v>
      </c>
      <c r="B6" s="4">
        <f>res_share_state_target*'LEAP Statewide'!B6</f>
        <v>3.2387229028766296</v>
      </c>
      <c r="C6" s="4">
        <f>res_share_state_target*'LEAP Statewide'!C6</f>
        <v>2.6247736917226252</v>
      </c>
      <c r="D6" s="4">
        <f>res_share_state_target*'LEAP Statewide'!D6</f>
        <v>1.7883382985449217</v>
      </c>
      <c r="E6" s="5">
        <f>res_share_state_target*'LEAP Statewide'!E6</f>
        <v>0.7068864770626383</v>
      </c>
      <c r="G6" s="1" t="s">
        <v>4</v>
      </c>
      <c r="H6" s="4">
        <f>res_share_state_target*'LEAP Statewide'!H6</f>
        <v>3.2584368683724003</v>
      </c>
      <c r="I6" s="4">
        <f>res_share_state_target*'LEAP Statewide'!I6</f>
        <v>2.6754667458546071</v>
      </c>
      <c r="J6" s="4">
        <f>res_share_state_target*'LEAP Statewide'!J6</f>
        <v>1.5574032741658923</v>
      </c>
      <c r="K6" s="5">
        <f>res_share_state_target*'LEAP Statewide'!K6</f>
        <v>0.5041142605347102</v>
      </c>
      <c r="L6" s="21"/>
      <c r="M6" s="1" t="s">
        <v>15</v>
      </c>
      <c r="N6" s="89">
        <f ca="1">com_share_state_target*'LEAP Statewide'!N6</f>
        <v>12.715007756676195</v>
      </c>
      <c r="O6" s="89">
        <f ca="1">com_share_state_target*'LEAP Statewide'!O6</f>
        <v>12.847195249510424</v>
      </c>
      <c r="P6" s="89">
        <f ca="1">com_share_state_target*'LEAP Statewide'!P6</f>
        <v>12.727511978971325</v>
      </c>
      <c r="Q6" s="90">
        <f ca="1">com_share_state_target*'LEAP Statewide'!Q6</f>
        <v>12.786460455505509</v>
      </c>
      <c r="R6" s="4"/>
      <c r="S6" s="1" t="s">
        <v>15</v>
      </c>
      <c r="T6" s="89">
        <f ca="1">com_share_state_target*'LEAP Statewide'!T6</f>
        <v>12.714829124929123</v>
      </c>
      <c r="U6" s="89">
        <f ca="1">com_share_state_target*'LEAP Statewide'!U6</f>
        <v>12.846659354269205</v>
      </c>
      <c r="V6" s="89">
        <f ca="1">com_share_state_target*'LEAP Statewide'!V6</f>
        <v>12.726797451983034</v>
      </c>
      <c r="W6" s="90">
        <f ca="1">com_share_state_target*'LEAP Statewide'!W6</f>
        <v>12.787174982493802</v>
      </c>
      <c r="Y6" s="92"/>
    </row>
    <row r="7" spans="1:25" x14ac:dyDescent="0.25">
      <c r="A7" s="1" t="s">
        <v>5</v>
      </c>
      <c r="B7" s="4">
        <f>res_share_state_target*'LEAP Statewide'!B7</f>
        <v>0.3266885710727731</v>
      </c>
      <c r="C7" s="4">
        <f>res_share_state_target*'LEAP Statewide'!C7</f>
        <v>1.8390313526769035</v>
      </c>
      <c r="D7" s="4">
        <f>res_share_state_target*'LEAP Statewide'!D7</f>
        <v>3.4668416464705487</v>
      </c>
      <c r="E7" s="5">
        <f>res_share_state_target*'LEAP Statewide'!E7</f>
        <v>4.7820447731169713</v>
      </c>
      <c r="G7" s="1" t="s">
        <v>5</v>
      </c>
      <c r="H7" s="4">
        <f>res_share_state_target*'LEAP Statewide'!H7</f>
        <v>0.57170499937735286</v>
      </c>
      <c r="I7" s="4">
        <f>res_share_state_target*'LEAP Statewide'!I7</f>
        <v>3.202111252670198</v>
      </c>
      <c r="J7" s="4">
        <f>res_share_state_target*'LEAP Statewide'!J7</f>
        <v>6.1845526041018077</v>
      </c>
      <c r="K7" s="5">
        <f>res_share_state_target*'LEAP Statewide'!K7</f>
        <v>8.5192493749580915</v>
      </c>
      <c r="M7" s="1" t="s">
        <v>8</v>
      </c>
      <c r="N7" s="4">
        <f ca="1">com_share_state_target*'LEAP Statewide'!N7</f>
        <v>5.1749617127129728</v>
      </c>
      <c r="O7" s="4">
        <f ca="1">com_share_state_target*'LEAP Statewide'!O7</f>
        <v>5.3142944754301329</v>
      </c>
      <c r="P7" s="4">
        <f ca="1">com_share_state_target*'LEAP Statewide'!P7</f>
        <v>5.3535934597862544</v>
      </c>
      <c r="Q7" s="5">
        <f ca="1">com_share_state_target*'LEAP Statewide'!Q7</f>
        <v>5.5268662544473379</v>
      </c>
      <c r="R7" s="4"/>
      <c r="S7" s="1" t="s">
        <v>8</v>
      </c>
      <c r="T7" s="4">
        <f ca="1">com_share_state_target*'LEAP Statewide'!T7</f>
        <v>5.0286623118599545</v>
      </c>
      <c r="U7" s="4">
        <f ca="1">com_share_state_target*'LEAP Statewide'!U7</f>
        <v>4.3938050827615109</v>
      </c>
      <c r="V7" s="4">
        <f ca="1">com_share_state_target*'LEAP Statewide'!V7</f>
        <v>3.6272962560700592</v>
      </c>
      <c r="W7" s="5">
        <f ca="1">com_share_state_target*'LEAP Statewide'!W7</f>
        <v>2.4561865222576245</v>
      </c>
      <c r="Y7" s="92"/>
    </row>
    <row r="8" spans="1:25" x14ac:dyDescent="0.25">
      <c r="A8" s="1" t="s">
        <v>6</v>
      </c>
      <c r="B8" s="4">
        <f>res_share_state_target*'LEAP Statewide'!B8</f>
        <v>3.6611650206431465E-2</v>
      </c>
      <c r="C8" s="4">
        <f>res_share_state_target*'LEAP Statewide'!C8</f>
        <v>0.27036295537057081</v>
      </c>
      <c r="D8" s="4">
        <f>res_share_state_target*'LEAP Statewide'!D8</f>
        <v>0.92092381673100687</v>
      </c>
      <c r="E8" s="5">
        <f>res_share_state_target*'LEAP Statewide'!E8</f>
        <v>1.9122546530897666</v>
      </c>
      <c r="G8" s="1" t="s">
        <v>6</v>
      </c>
      <c r="H8" s="4">
        <f>res_share_state_target*'LEAP Statewide'!H8</f>
        <v>0.15771172396616631</v>
      </c>
      <c r="I8" s="4">
        <f>res_share_state_target*'LEAP Statewide'!I8</f>
        <v>0.98006571321831926</v>
      </c>
      <c r="J8" s="4">
        <f>res_share_state_target*'LEAP Statewide'!J8</f>
        <v>2.1319245543283554</v>
      </c>
      <c r="K8" s="5">
        <f>res_share_state_target*'LEAP Statewide'!K8</f>
        <v>3.5372486660983018</v>
      </c>
      <c r="M8" s="1" t="s">
        <v>9</v>
      </c>
      <c r="N8" s="4">
        <f ca="1">com_share_state_target*'LEAP Statewide'!N8</f>
        <v>4.9856120608152938</v>
      </c>
      <c r="O8" s="4">
        <f ca="1">com_share_state_target*'LEAP Statewide'!O8</f>
        <v>6.0556162257842523</v>
      </c>
      <c r="P8" s="4">
        <f ca="1">com_share_state_target*'LEAP Statewide'!P8</f>
        <v>7.075603501572691</v>
      </c>
      <c r="Q8" s="5">
        <f ca="1">com_share_state_target*'LEAP Statewide'!Q8</f>
        <v>8.872638877129905</v>
      </c>
      <c r="R8" s="4"/>
      <c r="S8" s="1" t="s">
        <v>9</v>
      </c>
      <c r="T8" s="4">
        <f ca="1">com_share_state_target*'LEAP Statewide'!T8</f>
        <v>4.622810982509459</v>
      </c>
      <c r="U8" s="4">
        <f ca="1">com_share_state_target*'LEAP Statewide'!U8</f>
        <v>3.7875289331947934</v>
      </c>
      <c r="V8" s="4">
        <f ca="1">com_share_state_target*'LEAP Statewide'!V8</f>
        <v>2.819344864057606</v>
      </c>
      <c r="W8" s="5">
        <f ca="1">com_share_state_target*'LEAP Statewide'!W8</f>
        <v>1.30472628062325</v>
      </c>
      <c r="Y8" s="23"/>
    </row>
    <row r="9" spans="1:25" x14ac:dyDescent="0.25">
      <c r="A9" s="1" t="s">
        <v>7</v>
      </c>
      <c r="B9" s="4">
        <f>res_share_state_target*'LEAP Statewide'!B9</f>
        <v>2.7402412039121398</v>
      </c>
      <c r="C9" s="4">
        <f>res_share_state_target*'LEAP Statewide'!C9</f>
        <v>2.199515293170998</v>
      </c>
      <c r="D9" s="4">
        <f>res_share_state_target*'LEAP Statewide'!D9</f>
        <v>1.6785033479256273</v>
      </c>
      <c r="E9" s="5">
        <f>res_share_state_target*'LEAP Statewide'!E9</f>
        <v>0.83080283160748325</v>
      </c>
      <c r="G9" s="1" t="s">
        <v>7</v>
      </c>
      <c r="H9" s="4">
        <f>res_share_state_target*'LEAP Statewide'!H9</f>
        <v>2.6895481497801579</v>
      </c>
      <c r="I9" s="4">
        <f>res_share_state_target*'LEAP Statewide'!I9</f>
        <v>1.9376011801557576</v>
      </c>
      <c r="J9" s="4">
        <f>res_share_state_target*'LEAP Statewide'!J9</f>
        <v>1.2025518952420182</v>
      </c>
      <c r="K9" s="5">
        <f>res_share_state_target*'LEAP Statewide'!K9</f>
        <v>0</v>
      </c>
      <c r="L9" s="21"/>
      <c r="M9" s="1" t="s">
        <v>16</v>
      </c>
      <c r="N9" s="4">
        <f ca="1">com_share_state_target*'LEAP Statewide'!N9</f>
        <v>0.7020227659979974</v>
      </c>
      <c r="O9" s="4">
        <f ca="1">com_share_state_target*'LEAP Statewide'!O9</f>
        <v>0.52339101892471562</v>
      </c>
      <c r="P9" s="4">
        <f ca="1">com_share_state_target*'LEAP Statewide'!P9</f>
        <v>0.3215371447319072</v>
      </c>
      <c r="Q9" s="5">
        <f ca="1">com_share_state_target*'LEAP Statewide'!Q9</f>
        <v>0</v>
      </c>
      <c r="R9" s="2"/>
      <c r="S9" s="1" t="s">
        <v>16</v>
      </c>
      <c r="T9" s="4">
        <f ca="1">com_share_state_target*'LEAP Statewide'!T9</f>
        <v>0.70148687075677751</v>
      </c>
      <c r="U9" s="4">
        <f ca="1">com_share_state_target*'LEAP Statewide'!U9</f>
        <v>0.52249786018934918</v>
      </c>
      <c r="V9" s="4">
        <f ca="1">com_share_state_target*'LEAP Statewide'!V9</f>
        <v>0.32082261774361404</v>
      </c>
      <c r="W9" s="5">
        <f ca="1">com_share_state_target*'LEAP Statewide'!W9</f>
        <v>0</v>
      </c>
      <c r="Y9" s="23"/>
    </row>
    <row r="10" spans="1:25" x14ac:dyDescent="0.25">
      <c r="A10" s="1" t="s">
        <v>8</v>
      </c>
      <c r="B10" s="4">
        <f>res_share_state_target*'LEAP Statewide'!B10</f>
        <v>15.807784046823063</v>
      </c>
      <c r="C10" s="4">
        <f>res_share_state_target*'LEAP Statewide'!C10</f>
        <v>12.664814690640178</v>
      </c>
      <c r="D10" s="4">
        <f>res_share_state_target*'LEAP Statewide'!D10</f>
        <v>9.3556847681357951</v>
      </c>
      <c r="E10" s="5">
        <f>res_share_state_target*'LEAP Statewide'!E10</f>
        <v>3.3767206613470253</v>
      </c>
      <c r="G10" s="1" t="s">
        <v>8</v>
      </c>
      <c r="H10" s="4">
        <f>res_share_state_target*'LEAP Statewide'!H10</f>
        <v>15.621909515005795</v>
      </c>
      <c r="I10" s="4">
        <f>res_share_state_target*'LEAP Statewide'!I10</f>
        <v>11.935397967296659</v>
      </c>
      <c r="J10" s="4">
        <f>res_share_state_target*'LEAP Statewide'!J10</f>
        <v>8.3530888086365938</v>
      </c>
      <c r="K10" s="5">
        <f>res_share_state_target*'LEAP Statewide'!K10</f>
        <v>2.8190970658952228</v>
      </c>
      <c r="L10" s="21"/>
      <c r="M10" s="1" t="s">
        <v>17</v>
      </c>
      <c r="N10" s="4">
        <f ca="1">com_share_state_target*'LEAP Statewide'!N10</f>
        <v>2.234683155886755</v>
      </c>
      <c r="O10" s="4">
        <f ca="1">com_share_state_target*'LEAP Statewide'!O10</f>
        <v>2.3775885535453805</v>
      </c>
      <c r="P10" s="4">
        <f ca="1">com_share_state_target*'LEAP Statewide'!P10</f>
        <v>2.4829812843186168</v>
      </c>
      <c r="Q10" s="5">
        <f ca="1">com_share_state_target*'LEAP Statewide'!Q10</f>
        <v>2.7009120157480204</v>
      </c>
      <c r="R10" s="4"/>
      <c r="S10" s="1" t="s">
        <v>17</v>
      </c>
      <c r="T10" s="4">
        <f ca="1">com_share_state_target*'LEAP Statewide'!T10</f>
        <v>2.3990243631941741</v>
      </c>
      <c r="U10" s="4">
        <f ca="1">com_share_state_target*'LEAP Statewide'!U10</f>
        <v>3.408293734158216</v>
      </c>
      <c r="V10" s="4">
        <f ca="1">com_share_state_target*'LEAP Statewide'!V10</f>
        <v>4.4161340511456713</v>
      </c>
      <c r="W10" s="5">
        <f ca="1">com_share_state_target*'LEAP Statewide'!W10</f>
        <v>6.1402876738969878</v>
      </c>
      <c r="Y10" s="23"/>
    </row>
    <row r="11" spans="1:25" x14ac:dyDescent="0.25">
      <c r="A11" s="1" t="s">
        <v>9</v>
      </c>
      <c r="B11" s="4">
        <f>res_share_state_target*'LEAP Statewide'!B11</f>
        <v>13.647696684643606</v>
      </c>
      <c r="C11" s="4">
        <f>res_share_state_target*'LEAP Statewide'!C11</f>
        <v>17.714406138342611</v>
      </c>
      <c r="D11" s="4">
        <f>res_share_state_target*'LEAP Statewide'!D11</f>
        <v>22.766813866830152</v>
      </c>
      <c r="E11" s="5">
        <f>res_share_state_target*'LEAP Statewide'!E11</f>
        <v>33.344764495703735</v>
      </c>
      <c r="G11" s="1" t="s">
        <v>9</v>
      </c>
      <c r="H11" s="4">
        <f>res_share_state_target*'LEAP Statewide'!H11</f>
        <v>12.428247104690927</v>
      </c>
      <c r="I11" s="4">
        <f>res_share_state_target*'LEAP Statewide'!I11</f>
        <v>9.8851455557364964</v>
      </c>
      <c r="J11" s="4">
        <f>res_share_state_target*'LEAP Statewide'!J11</f>
        <v>5.5114614964604911</v>
      </c>
      <c r="K11" s="5">
        <f>res_share_state_target*'LEAP Statewide'!K11</f>
        <v>0.68435623078175745</v>
      </c>
      <c r="L11" s="21"/>
      <c r="M11" s="7" t="s">
        <v>12</v>
      </c>
      <c r="N11" s="8">
        <f ca="1">SUM(N4:N10)</f>
        <v>32.732481333708144</v>
      </c>
      <c r="O11" s="8">
        <f ca="1">SUM(O4:O10)</f>
        <v>32.709259206588627</v>
      </c>
      <c r="P11" s="8">
        <f ca="1">SUM(P4:P10)</f>
        <v>32.021526980356484</v>
      </c>
      <c r="Q11" s="9">
        <f ca="1">SUM(Q4:Q10)</f>
        <v>31.544580215670827</v>
      </c>
      <c r="R11" s="4"/>
      <c r="S11" s="7" t="s">
        <v>12</v>
      </c>
      <c r="T11" s="8">
        <f ca="1">SUM(T4:T10)</f>
        <v>32.384685322156471</v>
      </c>
      <c r="U11" s="8">
        <f ca="1">SUM(U4:U10)</f>
        <v>30.538347584407031</v>
      </c>
      <c r="V11" s="8">
        <f ca="1">SUM(V4:V10)</f>
        <v>27.94854451533859</v>
      </c>
      <c r="W11" s="9">
        <f ca="1">SUM(W4:W10)</f>
        <v>24.306421824261452</v>
      </c>
    </row>
    <row r="12" spans="1:25" x14ac:dyDescent="0.25">
      <c r="A12" s="1" t="s">
        <v>10</v>
      </c>
      <c r="B12" s="4">
        <f>res_share_state_target*'LEAP Statewide'!B12</f>
        <v>29.230178268657859</v>
      </c>
      <c r="C12" s="4">
        <f>res_share_state_target*'LEAP Statewide'!C12</f>
        <v>22.963953521787861</v>
      </c>
      <c r="D12" s="4">
        <f>res_share_state_target*'LEAP Statewide'!D12</f>
        <v>15.137509219966857</v>
      </c>
      <c r="E12" s="5">
        <f>res_share_state_target*'LEAP Statewide'!E12</f>
        <v>4.0526280497734524</v>
      </c>
      <c r="G12" s="1" t="s">
        <v>10</v>
      </c>
      <c r="H12" s="4">
        <f>res_share_state_target*'LEAP Statewide'!H12</f>
        <v>28.658473269280506</v>
      </c>
      <c r="I12" s="4">
        <f>res_share_state_target*'LEAP Statewide'!I12</f>
        <v>20.536319485022943</v>
      </c>
      <c r="J12" s="4">
        <f>res_share_state_target*'LEAP Statewide'!J12</f>
        <v>12.656365848284846</v>
      </c>
      <c r="K12" s="5">
        <f>res_share_state_target*'LEAP Statewide'!K12</f>
        <v>0</v>
      </c>
      <c r="L12" s="21"/>
    </row>
    <row r="13" spans="1:25" x14ac:dyDescent="0.25">
      <c r="A13" s="1" t="s">
        <v>11</v>
      </c>
      <c r="B13" s="4">
        <f>res_share_state_target*'LEAP Statewide'!B13</f>
        <v>1.8136848256109126</v>
      </c>
      <c r="C13" s="4">
        <f>res_share_state_target*'LEAP Statewide'!C13</f>
        <v>2.402287509698926</v>
      </c>
      <c r="D13" s="4">
        <f>res_share_state_target*'LEAP Statewide'!D13</f>
        <v>2.9655436667209489</v>
      </c>
      <c r="E13" s="5">
        <f>res_share_state_target*'LEAP Statewide'!E13</f>
        <v>3.8357744293199736</v>
      </c>
      <c r="G13" s="1" t="s">
        <v>11</v>
      </c>
      <c r="H13" s="4">
        <f>res_share_state_target*'LEAP Statewide'!H13</f>
        <v>2.0868640617665934</v>
      </c>
      <c r="I13" s="4">
        <f>res_share_state_target*'LEAP Statewide'!I13</f>
        <v>3.8188767446093128</v>
      </c>
      <c r="J13" s="4">
        <f>res_share_state_target*'LEAP Statewide'!J13</f>
        <v>5.1453449943961758</v>
      </c>
      <c r="K13" s="5">
        <f>res_share_state_target*'LEAP Statewide'!K13</f>
        <v>6.4042225053403961</v>
      </c>
      <c r="L13" s="21"/>
      <c r="N13" s="21"/>
      <c r="O13" s="21"/>
      <c r="P13" s="21"/>
      <c r="Q13" s="21"/>
      <c r="T13" s="21"/>
      <c r="U13" s="21"/>
      <c r="V13" s="21"/>
      <c r="W13" s="21"/>
    </row>
    <row r="14" spans="1:25" x14ac:dyDescent="0.25">
      <c r="A14" s="7" t="s">
        <v>12</v>
      </c>
      <c r="B14" s="8">
        <f>SUM(B4:B13)</f>
        <v>88.186200224152955</v>
      </c>
      <c r="C14" s="8">
        <f>SUM(C4:C13)</f>
        <v>82.342417595049483</v>
      </c>
      <c r="D14" s="8">
        <f>SUM(D4:D13)</f>
        <v>76.377534892186262</v>
      </c>
      <c r="E14" s="9">
        <f>SUM(E4:E13)</f>
        <v>69.412872510608949</v>
      </c>
      <c r="G14" s="7" t="s">
        <v>12</v>
      </c>
      <c r="H14" s="8">
        <f>SUM(H4:H13)</f>
        <v>87.124462368166434</v>
      </c>
      <c r="I14" s="8">
        <f>SUM(I4:I13)</f>
        <v>76.532430335367309</v>
      </c>
      <c r="J14" s="8">
        <f>SUM(J4:J13)</f>
        <v>64.267527516212766</v>
      </c>
      <c r="K14" s="9">
        <f>SUM(K4:K13)</f>
        <v>45.420976502255897</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78.855861983083159</v>
      </c>
      <c r="C24" s="4">
        <f>res_share_state_target*'LEAP Statewide'!C24*1000</f>
        <v>64.774458057532598</v>
      </c>
      <c r="D24" s="4">
        <f>res_share_state_target*'LEAP Statewide'!D24*1000</f>
        <v>56.325615702202256</v>
      </c>
      <c r="E24" s="5">
        <f>res_share_state_target*'LEAP Statewide'!E24*1000</f>
        <v>47.876773346871914</v>
      </c>
      <c r="G24" s="1" t="s">
        <v>21</v>
      </c>
      <c r="H24" s="4">
        <f>res_share_state_target*'LEAP Statewide'!H24*1000</f>
        <v>78.855861983083159</v>
      </c>
      <c r="I24" s="4">
        <f>res_share_state_target*'LEAP Statewide'!I24*1000</f>
        <v>64.774458057532598</v>
      </c>
      <c r="J24" s="4">
        <f>res_share_state_target*'LEAP Statewide'!J24*1000</f>
        <v>30.979088636211241</v>
      </c>
      <c r="K24" s="5">
        <f>res_share_state_target*'LEAP Statewide'!K24*1000</f>
        <v>2.8162807851101128</v>
      </c>
    </row>
    <row r="25" spans="1:16" x14ac:dyDescent="0.25">
      <c r="A25" s="1" t="s">
        <v>22</v>
      </c>
      <c r="B25" s="4">
        <f>res_share_state_target*'LEAP Statewide'!B25*1000</f>
        <v>11.265123140440451</v>
      </c>
      <c r="C25" s="4">
        <f>res_share_state_target*'LEAP Statewide'!C25*1000</f>
        <v>8.4488423553303384</v>
      </c>
      <c r="D25" s="4">
        <f>res_share_state_target*'LEAP Statewide'!D25*1000</f>
        <v>8.4488423553303384</v>
      </c>
      <c r="E25" s="5">
        <f>res_share_state_target*'LEAP Statewide'!E25*1000</f>
        <v>5.6325615702202256</v>
      </c>
      <c r="G25" s="1" t="s">
        <v>22</v>
      </c>
      <c r="H25" s="4">
        <f>res_share_state_target*'LEAP Statewide'!H25*1000</f>
        <v>11.265123140440451</v>
      </c>
      <c r="I25" s="4">
        <f>res_share_state_target*'LEAP Statewide'!I25*1000</f>
        <v>8.4488423553303384</v>
      </c>
      <c r="J25" s="4">
        <f>res_share_state_target*'LEAP Statewide'!J25*1000</f>
        <v>2.8162807851101128</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5.6325615702202256</v>
      </c>
      <c r="K26" s="5">
        <f>res_share_state_target*'LEAP Statewide'!K26*1000</f>
        <v>14.081403925550564</v>
      </c>
    </row>
    <row r="27" spans="1:16" x14ac:dyDescent="0.25">
      <c r="A27" s="1" t="s">
        <v>20</v>
      </c>
      <c r="B27" s="4">
        <f>res_share_state_target*'LEAP Statewide'!B27*1000</f>
        <v>2.8162807851101128</v>
      </c>
      <c r="C27" s="4">
        <f>res_share_state_target*'LEAP Statewide'!C27*1000</f>
        <v>2.8162807851101128</v>
      </c>
      <c r="D27" s="4">
        <f>res_share_state_target*'LEAP Statewide'!D27*1000</f>
        <v>2.8162807851101128</v>
      </c>
      <c r="E27" s="5">
        <f>res_share_state_target*'LEAP Statewide'!E27*1000</f>
        <v>2.8162807851101128</v>
      </c>
      <c r="G27" s="1" t="s">
        <v>20</v>
      </c>
      <c r="H27" s="4">
        <f>res_share_state_target*'LEAP Statewide'!H27*1000</f>
        <v>2.8162807851101128</v>
      </c>
      <c r="I27" s="4">
        <f>res_share_state_target*'LEAP Statewide'!I27*1000</f>
        <v>2.8162807851101128</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2.8162807851101128</v>
      </c>
      <c r="K28" s="5">
        <f>res_share_state_target*'LEAP Statewide'!K28*1000</f>
        <v>2.8162807851101128</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92.937265908633719</v>
      </c>
      <c r="C30" s="8">
        <f>SUM(C24:C29)</f>
        <v>76.03958119797305</v>
      </c>
      <c r="D30" s="8">
        <f>SUM(D24:D29)</f>
        <v>67.590738842642708</v>
      </c>
      <c r="E30" s="9">
        <f>SUM(E24:E29)</f>
        <v>56.325615702202256</v>
      </c>
      <c r="G30" s="7" t="s">
        <v>12</v>
      </c>
      <c r="H30" s="8">
        <f>SUM(H24:H29)</f>
        <v>92.937265908633719</v>
      </c>
      <c r="I30" s="8">
        <f>SUM(I24:I29)</f>
        <v>76.03958119797305</v>
      </c>
      <c r="J30" s="8">
        <f>SUM(J24:J29)</f>
        <v>42.244211776651696</v>
      </c>
      <c r="K30" s="9">
        <f>SUM(K24:K29)</f>
        <v>19.71396549577079</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0.29007692086634163</v>
      </c>
      <c r="C49" s="20">
        <f>res_share_state_target*'LEAP Statewide'!C49</f>
        <v>1.3884264270592857</v>
      </c>
      <c r="D49" s="20">
        <f>res_share_state_target*'LEAP Statewide'!D49</f>
        <v>2.4079200712691464</v>
      </c>
      <c r="E49" s="20">
        <f>res_share_state_target*'LEAP Statewide'!E49</f>
        <v>3.9709559070052589</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0.3828837209302326</v>
      </c>
      <c r="I4" s="4">
        <f>res_share_region_target*'LEAP Scenario'!I4</f>
        <v>1.3674418604651164</v>
      </c>
      <c r="J4" s="4">
        <f>res_share_region_target*'LEAP Scenario'!J4</f>
        <v>2.2426046511627908</v>
      </c>
      <c r="K4" s="5">
        <f>res_share_region_target*'LEAP Scenario'!K4</f>
        <v>3.473302325581396</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0.19739547635366692</v>
      </c>
      <c r="U4" s="4">
        <f>com_share_region_target*'LEAP Scenario'!U4</f>
        <v>1.2090472926662099</v>
      </c>
      <c r="V4" s="4">
        <f>com_share_region_target*'LEAP Scenario'!V4</f>
        <v>2.2700479780671694</v>
      </c>
      <c r="W4" s="5">
        <f>com_share_region_target*'LEAP Scenario'!W4</f>
        <v>4.0466072652501719</v>
      </c>
      <c r="Y4" s="23"/>
    </row>
    <row r="5" spans="1:25" x14ac:dyDescent="0.25">
      <c r="A5" s="1" t="s">
        <v>3</v>
      </c>
      <c r="B5" s="4">
        <f>res_share_region_target*'LEAP Scenario'!B5</f>
        <v>51.689302325581401</v>
      </c>
      <c r="C5" s="4">
        <f>res_share_region_target*'LEAP Scenario'!C5</f>
        <v>42.882976744186053</v>
      </c>
      <c r="D5" s="4">
        <f>res_share_region_target*'LEAP Scenario'!D5</f>
        <v>35.580837209302331</v>
      </c>
      <c r="E5" s="5">
        <f>res_share_region_target*'LEAP Scenario'!E5</f>
        <v>27.102697674418607</v>
      </c>
      <c r="G5" s="1" t="s">
        <v>3</v>
      </c>
      <c r="H5" s="4">
        <f>res_share_region_target*'LEAP Scenario'!H5</f>
        <v>50.841488372093032</v>
      </c>
      <c r="I5" s="4">
        <f>res_share_region_target*'LEAP Scenario'!I5</f>
        <v>40.202790697674423</v>
      </c>
      <c r="J5" s="4">
        <f>res_share_region_target*'LEAP Scenario'!J5</f>
        <v>30.849488372093028</v>
      </c>
      <c r="K5" s="5">
        <f>res_share_region_target*'LEAP Scenario'!K5</f>
        <v>20.511627906976749</v>
      </c>
      <c r="L5" s="21"/>
      <c r="M5" s="1" t="s">
        <v>14</v>
      </c>
      <c r="N5" s="4">
        <f>com_share_region_target*'LEAP Scenario'!N5</f>
        <v>10.190541466758054</v>
      </c>
      <c r="O5" s="4">
        <f>com_share_region_target*'LEAP Scenario'!O5</f>
        <v>8.3646333104866351</v>
      </c>
      <c r="P5" s="4">
        <f>com_share_region_target*'LEAP Scenario'!P5</f>
        <v>6.2426319396847161</v>
      </c>
      <c r="Q5" s="5">
        <f>com_share_region_target*'LEAP Scenario'!Q5</f>
        <v>2.9115832762165872</v>
      </c>
      <c r="R5" s="2"/>
      <c r="S5" s="1" t="s">
        <v>14</v>
      </c>
      <c r="T5" s="4">
        <f>com_share_region_target*'LEAP Scenario'!T5</f>
        <v>10.067169294037013</v>
      </c>
      <c r="U5" s="4">
        <f>com_share_region_target*'LEAP Scenario'!U5</f>
        <v>7.501028101439343</v>
      </c>
      <c r="V5" s="4">
        <f>com_share_region_target*'LEAP Scenario'!V5</f>
        <v>4.614119259766964</v>
      </c>
      <c r="W5" s="5">
        <f>com_share_region_target*'LEAP Scenario'!W5</f>
        <v>2.4674434544208364E-2</v>
      </c>
      <c r="Y5" s="92"/>
    </row>
    <row r="6" spans="1:25" x14ac:dyDescent="0.25">
      <c r="A6" s="1" t="s">
        <v>4</v>
      </c>
      <c r="B6" s="4">
        <f>res_share_region_target*'LEAP Scenario'!B6</f>
        <v>5.2236279069767448</v>
      </c>
      <c r="C6" s="4">
        <f>res_share_region_target*'LEAP Scenario'!C6</f>
        <v>3.8835348837209307</v>
      </c>
      <c r="D6" s="4">
        <f>res_share_region_target*'LEAP Scenario'!D6</f>
        <v>2.2426046511627908</v>
      </c>
      <c r="E6" s="5">
        <f>res_share_region_target*'LEAP Scenario'!E6</f>
        <v>0.65637209302325594</v>
      </c>
      <c r="G6" s="1" t="s">
        <v>4</v>
      </c>
      <c r="H6" s="4">
        <f>res_share_region_target*'LEAP Scenario'!H6</f>
        <v>5.6612093023255818</v>
      </c>
      <c r="I6" s="4">
        <f>res_share_region_target*'LEAP Scenario'!I6</f>
        <v>5.1142325581395358</v>
      </c>
      <c r="J6" s="4">
        <f>res_share_region_target*'LEAP Scenario'!J6</f>
        <v>2.7895813953488378</v>
      </c>
      <c r="K6" s="5">
        <f>res_share_region_target*'LEAP Scenario'!K6</f>
        <v>0.84781395348837219</v>
      </c>
      <c r="L6" s="21"/>
      <c r="M6" s="1" t="s">
        <v>15</v>
      </c>
      <c r="N6" s="89">
        <f>com_share_region_target*'LEAP Scenario'!N6</f>
        <v>18.604523646333107</v>
      </c>
      <c r="O6" s="89">
        <f>com_share_region_target*'LEAP Scenario'!O6</f>
        <v>19.78889650445511</v>
      </c>
      <c r="P6" s="89">
        <f>com_share_region_target*'LEAP Scenario'!P6</f>
        <v>20.652501713502399</v>
      </c>
      <c r="Q6" s="90">
        <f>com_share_region_target*'LEAP Scenario'!Q6</f>
        <v>22.47840986977382</v>
      </c>
      <c r="R6" s="4"/>
      <c r="S6" s="1" t="s">
        <v>15</v>
      </c>
      <c r="T6" s="89">
        <f>com_share_region_target*'LEAP Scenario'!T6</f>
        <v>18.357779300891025</v>
      </c>
      <c r="U6" s="89">
        <f>com_share_region_target*'LEAP Scenario'!U6</f>
        <v>18.185058259081565</v>
      </c>
      <c r="V6" s="89">
        <f>com_share_region_target*'LEAP Scenario'!V6</f>
        <v>17.617546264564773</v>
      </c>
      <c r="W6" s="90">
        <f>com_share_region_target*'LEAP Scenario'!W6</f>
        <v>17.074708704592187</v>
      </c>
      <c r="Y6" s="92"/>
    </row>
    <row r="7" spans="1:25" x14ac:dyDescent="0.25">
      <c r="A7" s="1" t="s">
        <v>5</v>
      </c>
      <c r="B7" s="4">
        <f>res_share_region_target*'LEAP Scenario'!B7</f>
        <v>0.71106976744186057</v>
      </c>
      <c r="C7" s="4">
        <f>res_share_region_target*'LEAP Scenario'!C7</f>
        <v>3.3639069767441865</v>
      </c>
      <c r="D7" s="4">
        <f>res_share_region_target*'LEAP Scenario'!D7</f>
        <v>5.2236279069767448</v>
      </c>
      <c r="E7" s="5">
        <f>res_share_region_target*'LEAP Scenario'!E7</f>
        <v>6.5637209302325594</v>
      </c>
      <c r="G7" s="1" t="s">
        <v>5</v>
      </c>
      <c r="H7" s="4">
        <f>res_share_region_target*'LEAP Scenario'!H7</f>
        <v>0.62902325581395357</v>
      </c>
      <c r="I7" s="4">
        <f>res_share_region_target*'LEAP Scenario'!I7</f>
        <v>3.0083720930232563</v>
      </c>
      <c r="J7" s="4">
        <f>res_share_region_target*'LEAP Scenario'!J7</f>
        <v>6.1534883720930242</v>
      </c>
      <c r="K7" s="5">
        <f>res_share_region_target*'LEAP Scenario'!K7</f>
        <v>7.3841860465116289</v>
      </c>
      <c r="M7" s="1" t="s">
        <v>8</v>
      </c>
      <c r="N7" s="4">
        <f>com_share_region_target*'LEAP Scenario'!N7</f>
        <v>7.6737491432488012</v>
      </c>
      <c r="O7" s="4">
        <f>com_share_region_target*'LEAP Scenario'!O7</f>
        <v>8.2906100068540098</v>
      </c>
      <c r="P7" s="4">
        <f>com_share_region_target*'LEAP Scenario'!P7</f>
        <v>8.7594242631939689</v>
      </c>
      <c r="Q7" s="5">
        <f>com_share_region_target*'LEAP Scenario'!Q7</f>
        <v>9.721727210418095</v>
      </c>
      <c r="R7" s="4"/>
      <c r="S7" s="1" t="s">
        <v>8</v>
      </c>
      <c r="T7" s="4">
        <f>com_share_region_target*'LEAP Scenario'!T7</f>
        <v>7.3776559287183012</v>
      </c>
      <c r="U7" s="4">
        <f>com_share_region_target*'LEAP Scenario'!U7</f>
        <v>6.3660041124057578</v>
      </c>
      <c r="V7" s="4">
        <f>com_share_region_target*'LEAP Scenario'!V7</f>
        <v>5.1569568197395483</v>
      </c>
      <c r="W7" s="5">
        <f>com_share_region_target*'LEAP Scenario'!W7</f>
        <v>3.2816997943797124</v>
      </c>
      <c r="Y7" s="92"/>
    </row>
    <row r="8" spans="1:25" x14ac:dyDescent="0.25">
      <c r="A8" s="1" t="s">
        <v>6</v>
      </c>
      <c r="B8" s="4">
        <f>res_share_region_target*'LEAP Scenario'!B8</f>
        <v>8.2046511627906993E-2</v>
      </c>
      <c r="C8" s="4">
        <f>res_share_region_target*'LEAP Scenario'!C8</f>
        <v>0.35553488372093028</v>
      </c>
      <c r="D8" s="4">
        <f>res_share_region_target*'LEAP Scenario'!D8</f>
        <v>1.2853953488372094</v>
      </c>
      <c r="E8" s="5">
        <f>res_share_region_target*'LEAP Scenario'!E8</f>
        <v>3.0904186046511635</v>
      </c>
      <c r="G8" s="1" t="s">
        <v>6</v>
      </c>
      <c r="H8" s="4">
        <f>res_share_region_target*'LEAP Scenario'!H8</f>
        <v>0.43758139534883728</v>
      </c>
      <c r="I8" s="4">
        <f>res_share_region_target*'LEAP Scenario'!I8</f>
        <v>1.2580465116279071</v>
      </c>
      <c r="J8" s="4">
        <f>res_share_region_target*'LEAP Scenario'!J8</f>
        <v>2.4613953488372098</v>
      </c>
      <c r="K8" s="5">
        <f>res_share_region_target*'LEAP Scenario'!K8</f>
        <v>3.4459534883720937</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3.5280000000000005</v>
      </c>
      <c r="C9" s="4">
        <f>res_share_region_target*'LEAP Scenario'!C9</f>
        <v>4.4852093023255817</v>
      </c>
      <c r="D9" s="4">
        <f>res_share_region_target*'LEAP Scenario'!D9</f>
        <v>5.4971162790697683</v>
      </c>
      <c r="E9" s="5">
        <f>res_share_region_target*'LEAP Scenario'!E9</f>
        <v>1.3947906976744189</v>
      </c>
      <c r="G9" s="1" t="s">
        <v>7</v>
      </c>
      <c r="H9" s="4">
        <f>res_share_region_target*'LEAP Scenario'!H9</f>
        <v>3.2818604651162797</v>
      </c>
      <c r="I9" s="4">
        <f>res_share_region_target*'LEAP Scenario'!I9</f>
        <v>3.8014883720930239</v>
      </c>
      <c r="J9" s="4">
        <f>res_share_region_target*'LEAP Scenario'!J9</f>
        <v>4.4031627906976754</v>
      </c>
      <c r="K9" s="5">
        <f>res_share_region_target*'LEAP Scenario'!K9</f>
        <v>0</v>
      </c>
      <c r="L9" s="21"/>
      <c r="M9" s="1" t="s">
        <v>16</v>
      </c>
      <c r="N9" s="4">
        <f>com_share_region_target*'LEAP Scenario'!N9</f>
        <v>1.0363262508567512</v>
      </c>
      <c r="O9" s="4">
        <f>com_share_region_target*'LEAP Scenario'!O9</f>
        <v>0.76490747087045929</v>
      </c>
      <c r="P9" s="4">
        <f>com_share_region_target*'LEAP Scenario'!P9</f>
        <v>0.46881425633995893</v>
      </c>
      <c r="Q9" s="5">
        <f>com_share_region_target*'LEAP Scenario'!Q9</f>
        <v>0</v>
      </c>
      <c r="R9" s="2"/>
      <c r="S9" s="1" t="s">
        <v>16</v>
      </c>
      <c r="T9" s="4">
        <f>com_share_region_target*'LEAP Scenario'!T9</f>
        <v>1.0363262508567512</v>
      </c>
      <c r="U9" s="4">
        <f>com_share_region_target*'LEAP Scenario'!U9</f>
        <v>0.76490747087045929</v>
      </c>
      <c r="V9" s="4">
        <f>com_share_region_target*'LEAP Scenario'!V9</f>
        <v>0.46881425633995893</v>
      </c>
      <c r="W9" s="5">
        <f>com_share_region_target*'LEAP Scenario'!W9</f>
        <v>0</v>
      </c>
      <c r="Y9" s="23"/>
    </row>
    <row r="10" spans="1:25" x14ac:dyDescent="0.25">
      <c r="A10" s="1" t="s">
        <v>8</v>
      </c>
      <c r="B10" s="4">
        <f>res_share_region_target*'LEAP Scenario'!B10</f>
        <v>19.773209302325583</v>
      </c>
      <c r="C10" s="4">
        <f>res_share_region_target*'LEAP Scenario'!C10</f>
        <v>16.135813953488373</v>
      </c>
      <c r="D10" s="4">
        <f>res_share_region_target*'LEAP Scenario'!D10</f>
        <v>12.908651162790699</v>
      </c>
      <c r="E10" s="5">
        <f>res_share_region_target*'LEAP Scenario'!E10</f>
        <v>8.6422325581395363</v>
      </c>
      <c r="G10" s="1" t="s">
        <v>8</v>
      </c>
      <c r="H10" s="4">
        <f>res_share_region_target*'LEAP Scenario'!H10</f>
        <v>19.335627906976747</v>
      </c>
      <c r="I10" s="4">
        <f>res_share_region_target*'LEAP Scenario'!I10</f>
        <v>15.123906976744188</v>
      </c>
      <c r="J10" s="4">
        <f>res_share_region_target*'LEAP Scenario'!J10</f>
        <v>9.6814883720930247</v>
      </c>
      <c r="K10" s="5">
        <f>res_share_region_target*'LEAP Scenario'!K10</f>
        <v>3.3912558139534887</v>
      </c>
      <c r="L10" s="21"/>
      <c r="M10" s="1" t="s">
        <v>17</v>
      </c>
      <c r="N10" s="4">
        <f>com_share_region_target*'LEAP Scenario'!N10</f>
        <v>3.3310486634681293</v>
      </c>
      <c r="O10" s="4">
        <f>com_share_region_target*'LEAP Scenario'!O10</f>
        <v>3.7258396161754632</v>
      </c>
      <c r="P10" s="4">
        <f>com_share_region_target*'LEAP Scenario'!P10</f>
        <v>4.0959561343385884</v>
      </c>
      <c r="Q10" s="5">
        <f>com_share_region_target*'LEAP Scenario'!Q10</f>
        <v>4.7374914324880057</v>
      </c>
      <c r="R10" s="4"/>
      <c r="S10" s="1" t="s">
        <v>17</v>
      </c>
      <c r="T10" s="4">
        <f>com_share_region_target*'LEAP Scenario'!T10</f>
        <v>3.4790952707333793</v>
      </c>
      <c r="U10" s="4">
        <f>com_share_region_target*'LEAP Scenario'!U10</f>
        <v>4.7621658670322145</v>
      </c>
      <c r="V10" s="4">
        <f>com_share_region_target*'LEAP Scenario'!V10</f>
        <v>6.0205620287868413</v>
      </c>
      <c r="W10" s="5">
        <f>com_share_region_target*'LEAP Scenario'!W10</f>
        <v>8.1919122686771768</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40.836189170664845</v>
      </c>
      <c r="O11" s="8">
        <f>SUM(O4:O10)</f>
        <v>40.934886908841683</v>
      </c>
      <c r="P11" s="8">
        <f>SUM(P4:P10)</f>
        <v>40.219328307059634</v>
      </c>
      <c r="Q11" s="9">
        <f>SUM(Q4:Q10)</f>
        <v>39.849211788896504</v>
      </c>
      <c r="R11" s="4"/>
      <c r="S11" s="7" t="s">
        <v>12</v>
      </c>
      <c r="T11" s="8">
        <f>SUM(T4:T10)</f>
        <v>40.515421521590135</v>
      </c>
      <c r="U11" s="8">
        <f>SUM(U4:U10)</f>
        <v>38.788211103495556</v>
      </c>
      <c r="V11" s="8">
        <f>SUM(V4:V10)</f>
        <v>36.148046607265258</v>
      </c>
      <c r="W11" s="9">
        <f>SUM(W4:W10)</f>
        <v>32.619602467443457</v>
      </c>
    </row>
    <row r="12" spans="1:25" x14ac:dyDescent="0.25">
      <c r="A12" s="1" t="s">
        <v>10</v>
      </c>
      <c r="B12" s="4">
        <f>res_share_region_target*'LEAP Scenario'!B12</f>
        <v>48.161302325581403</v>
      </c>
      <c r="C12" s="4">
        <f>res_share_region_target*'LEAP Scenario'!C12</f>
        <v>36.702139534883727</v>
      </c>
      <c r="D12" s="4">
        <f>res_share_region_target*'LEAP Scenario'!D12</f>
        <v>25.707906976744191</v>
      </c>
      <c r="E12" s="5">
        <f>res_share_region_target*'LEAP Scenario'!E12</f>
        <v>11.240372093023257</v>
      </c>
      <c r="G12" s="1" t="s">
        <v>10</v>
      </c>
      <c r="H12" s="4">
        <f>res_share_region_target*'LEAP Scenario'!H12</f>
        <v>46.328930232558143</v>
      </c>
      <c r="I12" s="4">
        <f>res_share_region_target*'LEAP Scenario'!I12</f>
        <v>31.122976744186051</v>
      </c>
      <c r="J12" s="4">
        <f>res_share_region_target*'LEAP Scenario'!J12</f>
        <v>16.436651162790699</v>
      </c>
      <c r="K12" s="5">
        <f>res_share_region_target*'LEAP Scenario'!K12</f>
        <v>0</v>
      </c>
      <c r="L12" s="21"/>
    </row>
    <row r="13" spans="1:25" x14ac:dyDescent="0.25">
      <c r="A13" s="1" t="s">
        <v>11</v>
      </c>
      <c r="B13" s="4">
        <f>res_share_region_target*'LEAP Scenario'!B13</f>
        <v>9.9549767441860482</v>
      </c>
      <c r="C13" s="4">
        <f>res_share_region_target*'LEAP Scenario'!C13</f>
        <v>8.8336744186046516</v>
      </c>
      <c r="D13" s="4">
        <f>res_share_region_target*'LEAP Scenario'!D13</f>
        <v>7.9311627906976758</v>
      </c>
      <c r="E13" s="5">
        <f>res_share_region_target*'LEAP Scenario'!E13</f>
        <v>7.0833488372093036</v>
      </c>
      <c r="G13" s="1" t="s">
        <v>11</v>
      </c>
      <c r="H13" s="4">
        <f>res_share_region_target*'LEAP Scenario'!H13</f>
        <v>8.6422325581395363</v>
      </c>
      <c r="I13" s="4">
        <f>res_share_region_target*'LEAP Scenario'!I13</f>
        <v>9.654139534883722</v>
      </c>
      <c r="J13" s="4">
        <f>res_share_region_target*'LEAP Scenario'!J13</f>
        <v>8.669581395348839</v>
      </c>
      <c r="K13" s="5">
        <f>res_share_region_target*'LEAP Scenario'!K13</f>
        <v>8.0952558139534894</v>
      </c>
      <c r="L13" s="21"/>
      <c r="N13" s="21"/>
      <c r="O13" s="21"/>
      <c r="P13" s="21"/>
      <c r="Q13" s="21"/>
      <c r="T13" s="21"/>
      <c r="U13" s="21"/>
      <c r="V13" s="21"/>
      <c r="W13" s="21"/>
    </row>
    <row r="14" spans="1:25" x14ac:dyDescent="0.25">
      <c r="A14" s="7" t="s">
        <v>12</v>
      </c>
      <c r="B14" s="8">
        <f>SUM(B4:B13)</f>
        <v>139.12353488372094</v>
      </c>
      <c r="C14" s="8">
        <f>SUM(C4:C13)</f>
        <v>116.64279069767443</v>
      </c>
      <c r="D14" s="8">
        <f>SUM(D4:D13)</f>
        <v>96.377302325581411</v>
      </c>
      <c r="E14" s="9">
        <f>SUM(E4:E13)</f>
        <v>65.773953488372086</v>
      </c>
      <c r="G14" s="7" t="s">
        <v>12</v>
      </c>
      <c r="H14" s="8">
        <f>SUM(H4:H13)</f>
        <v>135.54083720930234</v>
      </c>
      <c r="I14" s="8">
        <f>SUM(I4:I13)</f>
        <v>110.65339534883722</v>
      </c>
      <c r="J14" s="8">
        <f>SUM(J4:J13)</f>
        <v>83.687441860465128</v>
      </c>
      <c r="K14" s="9">
        <f>SUM(K4:K13)</f>
        <v>47.149395348837217</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79.639813953488385</v>
      </c>
      <c r="C24" s="4">
        <f>res_share_region_target*'LEAP Scenario'!C24</f>
        <v>64.81674418604652</v>
      </c>
      <c r="D24" s="4">
        <f>res_share_region_target*'LEAP Scenario'!D24</f>
        <v>55.244651162790703</v>
      </c>
      <c r="E24" s="5">
        <f>res_share_region_target*'LEAP Scenario'!E24</f>
        <v>46.383627906976749</v>
      </c>
      <c r="G24" s="1" t="s">
        <v>21</v>
      </c>
      <c r="H24" s="4">
        <f>res_share_region_target*'LEAP Scenario'!H24</f>
        <v>79.940651162790715</v>
      </c>
      <c r="I24" s="4">
        <f>res_share_region_target*'LEAP Scenario'!I24</f>
        <v>57.268465116279081</v>
      </c>
      <c r="J24" s="4">
        <f>res_share_region_target*'LEAP Scenario'!J24</f>
        <v>31.888744186046516</v>
      </c>
      <c r="K24" s="5">
        <f>res_share_region_target*'LEAP Scenario'!K24</f>
        <v>2.488744186046512</v>
      </c>
    </row>
    <row r="25" spans="1:16" x14ac:dyDescent="0.25">
      <c r="A25" s="1" t="s">
        <v>22</v>
      </c>
      <c r="B25" s="4">
        <f>res_share_region_target*'LEAP Scenario'!B25</f>
        <v>10.802790697674419</v>
      </c>
      <c r="C25" s="4">
        <f>res_share_region_target*'LEAP Scenario'!C25</f>
        <v>8.7242790697674426</v>
      </c>
      <c r="D25" s="4">
        <f>res_share_region_target*'LEAP Scenario'!D25</f>
        <v>7.3841860465116289</v>
      </c>
      <c r="E25" s="5">
        <f>res_share_region_target*'LEAP Scenario'!E25</f>
        <v>6.1261395348837215</v>
      </c>
      <c r="G25" s="1" t="s">
        <v>22</v>
      </c>
      <c r="H25" s="4">
        <f>res_share_region_target*'LEAP Scenario'!H25</f>
        <v>10.666046511627908</v>
      </c>
      <c r="I25" s="4">
        <f>res_share_region_target*'LEAP Scenario'!I25</f>
        <v>7.1106976744186055</v>
      </c>
      <c r="J25" s="4">
        <f>res_share_region_target*'LEAP Scenario'!J25</f>
        <v>3.8561860465116284</v>
      </c>
      <c r="K25" s="5">
        <f>res_share_region_target*'LEAP Scenario'!K25</f>
        <v>0.43758139534883728</v>
      </c>
    </row>
    <row r="26" spans="1:16" x14ac:dyDescent="0.25">
      <c r="A26" s="1" t="s">
        <v>23</v>
      </c>
      <c r="B26" s="4">
        <f>res_share_region_target*'LEAP Scenario'!B26</f>
        <v>8.2046511627906993E-2</v>
      </c>
      <c r="C26" s="4">
        <f>res_share_region_target*'LEAP Scenario'!C26</f>
        <v>0.24613953488372098</v>
      </c>
      <c r="D26" s="4">
        <f>res_share_region_target*'LEAP Scenario'!D26</f>
        <v>0.3828837209302326</v>
      </c>
      <c r="E26" s="5">
        <f>res_share_region_target*'LEAP Scenario'!E26</f>
        <v>0.57432558139534895</v>
      </c>
      <c r="G26" s="1" t="s">
        <v>23</v>
      </c>
      <c r="H26" s="4">
        <f>res_share_region_target*'LEAP Scenario'!H26</f>
        <v>8.2046511627906993E-2</v>
      </c>
      <c r="I26" s="4">
        <f>res_share_region_target*'LEAP Scenario'!I26</f>
        <v>2.2426046511627908</v>
      </c>
      <c r="J26" s="4">
        <f>res_share_region_target*'LEAP Scenario'!J26</f>
        <v>6.5090232558139549</v>
      </c>
      <c r="K26" s="5">
        <f>res_share_region_target*'LEAP Scenario'!K26</f>
        <v>12.607813953488375</v>
      </c>
    </row>
    <row r="27" spans="1:16" x14ac:dyDescent="0.25">
      <c r="A27" s="1" t="s">
        <v>20</v>
      </c>
      <c r="B27" s="4">
        <f>res_share_region_target*'LEAP Scenario'!B27</f>
        <v>2.8989767441860468</v>
      </c>
      <c r="C27" s="4">
        <f>res_share_region_target*'LEAP Scenario'!C27</f>
        <v>2.7348837209302328</v>
      </c>
      <c r="D27" s="4">
        <f>res_share_region_target*'LEAP Scenario'!D27</f>
        <v>2.6801860465116283</v>
      </c>
      <c r="E27" s="5">
        <f>res_share_region_target*'LEAP Scenario'!E27</f>
        <v>2.652837209302326</v>
      </c>
      <c r="G27" s="1" t="s">
        <v>20</v>
      </c>
      <c r="H27" s="4">
        <f>res_share_region_target*'LEAP Scenario'!H27</f>
        <v>2.6801860465116283</v>
      </c>
      <c r="I27" s="4">
        <f>res_share_region_target*'LEAP Scenario'!I27</f>
        <v>1.6682790697674421</v>
      </c>
      <c r="J27" s="4">
        <f>res_share_region_target*'LEAP Scenario'!J27</f>
        <v>0.90251162790697692</v>
      </c>
      <c r="K27" s="5">
        <f>res_share_region_target*'LEAP Scenario'!K27</f>
        <v>2.734883720930233E-2</v>
      </c>
    </row>
    <row r="28" spans="1:16" x14ac:dyDescent="0.25">
      <c r="A28" s="1" t="s">
        <v>18</v>
      </c>
      <c r="B28" s="4">
        <f>res_share_region_target*'LEAP Scenario'!B28</f>
        <v>2.734883720930233E-2</v>
      </c>
      <c r="C28" s="4">
        <f>res_share_region_target*'LEAP Scenario'!C28</f>
        <v>2.734883720930233E-2</v>
      </c>
      <c r="D28" s="4">
        <f>res_share_region_target*'LEAP Scenario'!D28</f>
        <v>2.734883720930233E-2</v>
      </c>
      <c r="E28" s="5">
        <f>res_share_region_target*'LEAP Scenario'!E28</f>
        <v>0</v>
      </c>
      <c r="G28" s="1" t="s">
        <v>18</v>
      </c>
      <c r="H28" s="4">
        <f>res_share_region_target*'LEAP Scenario'!H28</f>
        <v>0.21879069767441864</v>
      </c>
      <c r="I28" s="4">
        <f>res_share_region_target*'LEAP Scenario'!I28</f>
        <v>1.0392558139534884</v>
      </c>
      <c r="J28" s="4">
        <f>res_share_region_target*'LEAP Scenario'!J28</f>
        <v>1.6682790697674421</v>
      </c>
      <c r="K28" s="5">
        <f>res_share_region_target*'LEAP Scenario'!K28</f>
        <v>2.3793488372093026</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93.450976744186065</v>
      </c>
      <c r="C30" s="8">
        <f>SUM(C24:C29)</f>
        <v>76.549395348837223</v>
      </c>
      <c r="D30" s="8">
        <f>SUM(D24:D29)</f>
        <v>65.719255813953495</v>
      </c>
      <c r="E30" s="9">
        <f>SUM(E24:E29)</f>
        <v>55.736930232558144</v>
      </c>
      <c r="G30" s="7" t="s">
        <v>12</v>
      </c>
      <c r="H30" s="8">
        <f>SUM(H24:H29)</f>
        <v>93.587720930232578</v>
      </c>
      <c r="I30" s="8">
        <f>SUM(I24:I29)</f>
        <v>69.329302325581409</v>
      </c>
      <c r="J30" s="8">
        <f>SUM(J24:J29)</f>
        <v>44.824744186046523</v>
      </c>
      <c r="K30" s="9">
        <f>SUM(K24:K29)</f>
        <v>17.94083720930233</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0.32818604651162797</v>
      </c>
      <c r="C49" s="20">
        <f>res_share_region_target*'LEAP Scenario'!C49</f>
        <v>1.5315348837209304</v>
      </c>
      <c r="D49" s="20">
        <f>res_share_region_target*'LEAP Scenario'!D49</f>
        <v>2.4066976744186048</v>
      </c>
      <c r="E49" s="20">
        <f>res_share_region_target*'LEAP Scenario'!E49</f>
        <v>3.5280000000000005</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139123.53488372095</v>
      </c>
      <c r="J21" s="63">
        <f>'2.Heat Targets'!C24</f>
        <v>116642.79069767443</v>
      </c>
      <c r="K21" s="63">
        <f>'2.Heat Targets'!D24</f>
        <v>96377.302325581404</v>
      </c>
      <c r="L21" s="64">
        <f>'2.Heat Targets'!E24</f>
        <v>65773.953488372092</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1110.3627906976744</v>
      </c>
      <c r="J22" s="63">
        <f>'2.Heat Targets'!C25</f>
        <v>5951.1069767441868</v>
      </c>
      <c r="K22" s="63">
        <f>'2.Heat Targets'!D25</f>
        <v>11716.241860465116</v>
      </c>
      <c r="L22" s="64">
        <f>'2.Heat Targets'!E25</f>
        <v>12550.381395348835</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135540.83720930235</v>
      </c>
      <c r="J23" s="63">
        <f>'2.Heat Targets'!C26</f>
        <v>110653.39534883722</v>
      </c>
      <c r="K23" s="63">
        <f>'2.Heat Targets'!D26</f>
        <v>83687.441860465129</v>
      </c>
      <c r="L23" s="64">
        <f>'2.Heat Targets'!E26</f>
        <v>47149.395348837214</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1493.2465116279072</v>
      </c>
      <c r="J24" s="63">
        <f>'2.Heat Targets'!C27</f>
        <v>6826.2697674418623</v>
      </c>
      <c r="K24" s="63">
        <f>'2.Heat Targets'!D27</f>
        <v>15506.790697674418</v>
      </c>
      <c r="L24" s="64">
        <f>'2.Heat Targets'!E27</f>
        <v>21660.279069767443</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3199.8139534883503</v>
      </c>
      <c r="J25" s="63">
        <f>'2.Heat Targets'!C28</f>
        <v>5114.2325581395244</v>
      </c>
      <c r="K25" s="63">
        <f>'2.Heat Targets'!D28</f>
        <v>8899.3116279069745</v>
      </c>
      <c r="L25" s="64">
        <f>'2.Heat Targets'!E28</f>
        <v>9514.6604651162779</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7">
        <f>'2.Heat Targets'!B29</f>
        <v>32.840000000000003</v>
      </c>
      <c r="J26" s="307">
        <f>'2.Heat Targets'!C29</f>
        <v>0</v>
      </c>
      <c r="K26" s="307">
        <f>'2.Heat Targets'!D29</f>
        <v>0</v>
      </c>
      <c r="L26" s="307">
        <f>'2.Heat Targets'!E29</f>
        <v>0</v>
      </c>
      <c r="O26" s="307">
        <f>'2.Heat Targets'!B29</f>
        <v>32.840000000000003</v>
      </c>
      <c r="P26" s="307"/>
      <c r="Q26" s="307"/>
      <c r="R26" s="307"/>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97.436478486246955</v>
      </c>
      <c r="J27" s="63">
        <f>'2.Heat Targets'!C30</f>
        <v>155.7318074951134</v>
      </c>
      <c r="K27" s="63">
        <f>'2.Heat Targets'!D30</f>
        <v>270.99000084978604</v>
      </c>
      <c r="L27" s="64">
        <f>'2.Heat Targets'!E30</f>
        <v>289.72778517406448</v>
      </c>
      <c r="O27" s="62">
        <f>O25/$O$26</f>
        <v>309.86220521293006</v>
      </c>
      <c r="P27" s="63">
        <f>P25/$O$26</f>
        <v>1341.9998736854152</v>
      </c>
      <c r="Q27" s="63">
        <f>Q25/$O$26</f>
        <v>2023.3924838950365</v>
      </c>
      <c r="R27" s="64">
        <f>R25/$O$26</f>
        <v>4309.7154410327257</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708</v>
      </c>
      <c r="J28" s="203">
        <f>'2.Heat Targets'!C31</f>
        <v>750.48</v>
      </c>
      <c r="K28" s="203">
        <f>'2.Heat Targets'!D31</f>
        <v>795.50880000000006</v>
      </c>
      <c r="L28" s="203">
        <f>'2.Heat Targets'!E31</f>
        <v>843.23932800000011</v>
      </c>
      <c r="O28" s="203">
        <f>'2.Heat Targets'!B31</f>
        <v>708</v>
      </c>
      <c r="P28" s="203">
        <f>'2.Heat Targets'!C31</f>
        <v>750.48</v>
      </c>
      <c r="Q28" s="203">
        <f>'2.Heat Targets'!D31</f>
        <v>795.50880000000006</v>
      </c>
      <c r="R28" s="203">
        <f>'2.Heat Targets'!E31</f>
        <v>843.23932800000011</v>
      </c>
      <c r="T28" t="str">
        <f>'2.Heat Targets'!G31</f>
        <v>Enter a projection of the number of future residences in the area by each year.</v>
      </c>
    </row>
    <row r="29" spans="8:20" x14ac:dyDescent="0.25">
      <c r="I29" s="86">
        <f>'2.Heat Targets'!B32</f>
        <v>0.13762214475458609</v>
      </c>
      <c r="J29" s="87">
        <f>'2.Heat Targets'!C32</f>
        <v>0.20750960384702244</v>
      </c>
      <c r="K29" s="87">
        <f>'2.Heat Targets'!D32</f>
        <v>0.34064990965503589</v>
      </c>
      <c r="L29" s="88">
        <f>'2.Heat Targets'!E32</f>
        <v>0.34358903285647563</v>
      </c>
      <c r="O29" s="104">
        <f>O27/O28</f>
        <v>0.43765848193916673</v>
      </c>
      <c r="P29" s="105">
        <f>P27/P28</f>
        <v>1.7881887241304435</v>
      </c>
      <c r="Q29" s="105">
        <f>Q27/Q28</f>
        <v>2.5435199257318541</v>
      </c>
      <c r="R29" s="106">
        <f>R27/R28</f>
        <v>5.1109042212897418</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131.36000000000001</v>
      </c>
      <c r="J34" s="94">
        <f>'2.Heat Targets'!C54</f>
        <v>124.54538460966378</v>
      </c>
      <c r="K34" s="94">
        <f>'2.Heat Targets'!D54</f>
        <v>120.17305696692861</v>
      </c>
      <c r="L34" s="95">
        <f>'2.Heat Targets'!E54</f>
        <v>120.07653616099333</v>
      </c>
      <c r="O34" s="107">
        <f>'1.Current Heat'!B10</f>
        <v>131.36000000000001</v>
      </c>
      <c r="P34" s="108">
        <f>P29*($O$34-$O$26)+(1-P29)*$O$34</f>
        <v>72.635882299556243</v>
      </c>
      <c r="Q34" s="108">
        <f>Q29*($O$34-$O$26)+(1-Q29)*$O$34</f>
        <v>47.830805638965899</v>
      </c>
      <c r="R34" s="110">
        <f>R29*($O$34-$O$26)+(1-R29)*$O$34</f>
        <v>-36.482094627155163</v>
      </c>
      <c r="T34" t="str">
        <f>'2.Heat Targets'!G54</f>
        <v>This is a projection of the average area residential heating load, in millions of Btu, computed based on values inputted above and in the "1.Current Heat" tab</v>
      </c>
    </row>
    <row r="35" spans="9:20" x14ac:dyDescent="0.25">
      <c r="I35" s="81">
        <f>'2.Heat Targets'!B55</f>
        <v>49993.674418604656</v>
      </c>
      <c r="J35" s="82">
        <f>'2.Heat Targets'!C55</f>
        <v>36291.906976744191</v>
      </c>
      <c r="K35" s="82">
        <f>'2.Heat Targets'!D55</f>
        <v>23082.418604651168</v>
      </c>
      <c r="L35" s="83">
        <f>'2.Heat Targets'!E55</f>
        <v>3473.302325581396</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380.58521938645441</v>
      </c>
      <c r="J37" s="63">
        <f>'2.Heat Targets'!C57</f>
        <v>291.39503716244667</v>
      </c>
      <c r="K37" s="63">
        <f>'2.Heat Targets'!D57</f>
        <v>192.07648692005401</v>
      </c>
      <c r="L37" s="64">
        <f>'2.Heat Targets'!E57</f>
        <v>28.9257371725359</v>
      </c>
      <c r="O37" s="62">
        <f>O35/O34</f>
        <v>2123.5026782284917</v>
      </c>
      <c r="P37" s="62">
        <f>P35/P34</f>
        <v>2930.0214660630522</v>
      </c>
      <c r="Q37" s="62">
        <f>Q35/Q34</f>
        <v>3126.4536651074209</v>
      </c>
      <c r="R37" s="112">
        <f>R35/R34</f>
        <v>-1350.1509761773461</v>
      </c>
      <c r="T37" t="str">
        <f>'2.Heat Targets'!G57</f>
        <v>This formula computes an estimate the number of residences using biofuel-blended heat energy in the 90x50 scenario based on values inputted in the "1.Current Heat" tab.</v>
      </c>
    </row>
    <row r="38" spans="9:20" x14ac:dyDescent="0.25">
      <c r="I38" s="65">
        <f>'2.Heat Targets'!B58</f>
        <v>0.53754974489612206</v>
      </c>
      <c r="J38" s="66">
        <f>'2.Heat Targets'!C58</f>
        <v>0.38827821815697511</v>
      </c>
      <c r="K38" s="66">
        <f>'2.Heat Targets'!D58</f>
        <v>0.24145111521086127</v>
      </c>
      <c r="L38" s="67">
        <f>'2.Heat Targets'!E58</f>
        <v>3.4303116816363548E-2</v>
      </c>
      <c r="O38" s="109">
        <f>O37/O28</f>
        <v>2.9992975681193386</v>
      </c>
      <c r="P38" s="109">
        <f>P37/P28</f>
        <v>3.9041966022586241</v>
      </c>
      <c r="Q38" s="109">
        <f>Q37/Q28</f>
        <v>3.9301308358970015</v>
      </c>
      <c r="R38" s="113">
        <f>R37/R28</f>
        <v>-1.6011480149765334</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59483.720930232565</v>
      </c>
      <c r="J39" s="82">
        <f>'2.Heat Targets'!C59</f>
        <v>49856.930232558145</v>
      </c>
      <c r="K39" s="82">
        <f>'2.Heat Targets'!D59</f>
        <v>39519.069767441862</v>
      </c>
      <c r="L39" s="83">
        <f>'2.Heat Targets'!E59</f>
        <v>28606.883720930236</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452.82978783672775</v>
      </c>
      <c r="J40" s="63">
        <f>'2.Heat Targets'!C60</f>
        <v>400.31134344170329</v>
      </c>
      <c r="K40" s="63">
        <f>'2.Heat Targets'!D60</f>
        <v>328.85133127900235</v>
      </c>
      <c r="L40" s="64">
        <f>'2.Heat Targets'!E60</f>
        <v>238.23874868088623</v>
      </c>
      <c r="O40" s="62">
        <f>O39/O34</f>
        <v>1425.8629629079085</v>
      </c>
      <c r="P40" s="62">
        <f>P39/P34</f>
        <v>2663.1913535597819</v>
      </c>
      <c r="Q40" s="62">
        <f>Q39/Q34</f>
        <v>4080.1948264362841</v>
      </c>
      <c r="R40" s="112">
        <f>R39/R34</f>
        <v>-5470.0883997320325</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0.63959009581458726</v>
      </c>
      <c r="J41" s="66">
        <f>'2.Heat Targets'!C61</f>
        <v>0.53340707739273974</v>
      </c>
      <c r="K41" s="66">
        <f>'2.Heat Targets'!D61</f>
        <v>0.41338490696646263</v>
      </c>
      <c r="L41" s="67">
        <f>'2.Heat Targets'!E61</f>
        <v>0.28252803299146667</v>
      </c>
      <c r="O41" s="109">
        <f>O40/O28</f>
        <v>2.0139307385704921</v>
      </c>
      <c r="P41" s="109">
        <f>P40/P28</f>
        <v>3.5486506683186518</v>
      </c>
      <c r="Q41" s="109">
        <f>Q40/Q28</f>
        <v>5.1290379521084919</v>
      </c>
      <c r="R41" s="113">
        <f>R40/R28</f>
        <v>-6.4869939269863277</v>
      </c>
      <c r="T41" t="str">
        <f>'2.Heat Targets'!G61</f>
        <v>This formula computes the estimated share of area residences using Wood heat  in the 90x50 scenario, based on values inputted in the "1.Current Heat" tab.</v>
      </c>
    </row>
    <row r="42" spans="9:20" x14ac:dyDescent="0.25">
      <c r="I42" s="81">
        <f>'2.Heat Targets'!B62</f>
        <v>1066.604651162791</v>
      </c>
      <c r="J42" s="82">
        <f>'2.Heat Targets'!C62</f>
        <v>4266.4186046511641</v>
      </c>
      <c r="K42" s="82">
        <f>'2.Heat Targets'!D62</f>
        <v>8614.8837209302328</v>
      </c>
      <c r="L42" s="83">
        <f>'2.Heat Targets'!E62</f>
        <v>10830.139534883721</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27.838993853213616</v>
      </c>
      <c r="J43" s="63">
        <f>'2.Heat Targets'!C63</f>
        <v>118.75390813673788</v>
      </c>
      <c r="K43" s="63">
        <f>'2.Heat Targets'!D63</f>
        <v>250.90560050871977</v>
      </c>
      <c r="L43" s="64">
        <f>'2.Heat Targets'!E63</f>
        <v>318.33048412202544</v>
      </c>
      <c r="O43" s="62">
        <f>O42/((0.7*O34)/2.4)</f>
        <v>158.35993502161381</v>
      </c>
      <c r="P43" s="112">
        <f>P42/((0.75*P34)/2.6)</f>
        <v>1353.4994266724243</v>
      </c>
      <c r="Q43" s="112">
        <f>Q42/((0.8*Q34)/2.8)</f>
        <v>4831.8180730048716</v>
      </c>
      <c r="R43" s="64">
        <f>R42/((0.85*R34)/3)</f>
        <v>-9630.8988916740254</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3.9320612787024881E-2</v>
      </c>
      <c r="J44" s="66">
        <f>'2.Heat Targets'!C64</f>
        <v>0.15823727232802723</v>
      </c>
      <c r="K44" s="66">
        <f>'2.Heat Targets'!D64</f>
        <v>0.31540267123219723</v>
      </c>
      <c r="L44" s="67">
        <f>'2.Heat Targets'!E64</f>
        <v>0.37750905769189336</v>
      </c>
      <c r="O44" s="109">
        <f>O43/O28</f>
        <v>0.22367222460679917</v>
      </c>
      <c r="P44" s="109">
        <f>P43/P28</f>
        <v>1.8035116547708456</v>
      </c>
      <c r="Q44" s="109">
        <f>Q43/Q28</f>
        <v>6.0738713047610178</v>
      </c>
      <c r="R44" s="113">
        <f>R43/R28</f>
        <v>-11.421311331050754</v>
      </c>
      <c r="T44" t="str">
        <f>'2.Heat Targets'!G64</f>
        <v>This formula computes the estimated share of area residences using Heat Pumps in the 90x50 scenario based on values inputted above and in the "1.Current Heat" tab.</v>
      </c>
    </row>
    <row r="45" spans="9:20" x14ac:dyDescent="0.25">
      <c r="I45" s="81">
        <f>'2.Heat Targets'!B65</f>
        <v>19335.627906976748</v>
      </c>
      <c r="J45" s="82">
        <f>'2.Heat Targets'!C65</f>
        <v>15123.906976744187</v>
      </c>
      <c r="K45" s="82">
        <f>'2.Heat Targets'!D65</f>
        <v>9681.4883720930247</v>
      </c>
      <c r="L45" s="83">
        <f>'2.Heat Targets'!E65</f>
        <v>3391.2558139534885</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147.19570574738691</v>
      </c>
      <c r="J46" s="63">
        <f>'2.Heat Targets'!C66</f>
        <v>121.43289792828409</v>
      </c>
      <c r="K46" s="63">
        <f>'2.Heat Targets'!D66</f>
        <v>80.562886693956287</v>
      </c>
      <c r="L46" s="64">
        <f>'2.Heat Targets'!E66</f>
        <v>28.242452042475993</v>
      </c>
      <c r="O46" s="62">
        <f>O45/O34</f>
        <v>1804.4602675127214</v>
      </c>
      <c r="P46" s="62">
        <f>P45/P34</f>
        <v>2573.8495739190425</v>
      </c>
      <c r="Q46" s="62">
        <f>Q45/Q34</f>
        <v>2464.4403348506639</v>
      </c>
      <c r="R46" s="112">
        <f>R45/R34</f>
        <v>-820.27160923089855</v>
      </c>
      <c r="T46" t="str">
        <f>'2.Heat Targets'!G66</f>
        <v>This formula computes the estimates number of area residences using fossil heat in the 90x50 scenario based on values inputted in the "1.Current Heat" tab.</v>
      </c>
    </row>
    <row r="47" spans="9:20" x14ac:dyDescent="0.25">
      <c r="I47" s="65">
        <f>'2.Heat Targets'!B67</f>
        <v>0.20790353919122445</v>
      </c>
      <c r="J47" s="66">
        <f>'2.Heat Targets'!C67</f>
        <v>0.16180697410761657</v>
      </c>
      <c r="K47" s="66">
        <f>'2.Heat Targets'!D67</f>
        <v>0.10127215021877355</v>
      </c>
      <c r="L47" s="67">
        <f>'2.Heat Targets'!E67</f>
        <v>3.3492806970307709E-2</v>
      </c>
      <c r="O47" s="109">
        <f>O46/O28</f>
        <v>2.5486726942270077</v>
      </c>
      <c r="P47" s="109">
        <f>P46/P28</f>
        <v>3.4296044850216427</v>
      </c>
      <c r="Q47" s="109">
        <f>Q46/Q28</f>
        <v>3.0979422664471641</v>
      </c>
      <c r="R47" s="113">
        <f>R46/R28</f>
        <v>-0.97276251473756981</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topLeftCell="A27" workbookViewId="0">
      <selection activeCell="E41" sqref="E41"/>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workbookViewId="0">
      <selection activeCell="I12" sqref="I12:K12"/>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353</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2.8162807851101128E-3</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2.734883720930233E-2</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1.8905577145257851E-3</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2.4674434544208364E-2</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9" zoomScale="70" zoomScaleNormal="70" workbookViewId="0">
      <selection activeCell="B14" sqref="B14"/>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102353.98324560607</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1363</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867363.63636363635</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789300.90909090906</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95709.444285000005</v>
      </c>
      <c r="C22" s="266" t="s">
        <v>66</v>
      </c>
      <c r="D22" s="266"/>
      <c r="E22" s="266"/>
      <c r="F22" s="266"/>
      <c r="G22" s="266"/>
      <c r="H22" s="266"/>
      <c r="I22" s="266"/>
      <c r="J22" s="266"/>
      <c r="K22" s="266"/>
      <c r="L22" s="266"/>
      <c r="M22" s="266"/>
      <c r="N22" s="266"/>
    </row>
    <row r="23" spans="1:14" ht="36" customHeight="1" x14ac:dyDescent="0.25">
      <c r="B23" s="120">
        <f>B18-B20</f>
        <v>78062.727272727294</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6612.6936272727289</v>
      </c>
      <c r="C25" s="266" t="s">
        <v>69</v>
      </c>
      <c r="D25" s="266"/>
      <c r="E25" s="266"/>
      <c r="F25" s="266"/>
      <c r="G25" s="266"/>
      <c r="H25" s="266"/>
      <c r="I25" s="266"/>
      <c r="J25" s="266"/>
      <c r="K25" s="266"/>
      <c r="L25" s="266"/>
      <c r="M25" s="266"/>
      <c r="N25" s="266"/>
    </row>
    <row r="26" spans="1:14" ht="36" customHeight="1" x14ac:dyDescent="0.25">
      <c r="B26" s="122">
        <f>B22+B25</f>
        <v>102322.13791227274</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4</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9333.3333333333339</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31.845333333333336</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topLeftCell="A28"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111408.3181846692</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708</v>
      </c>
      <c r="C8" s="275" t="s">
        <v>79</v>
      </c>
      <c r="D8" s="267"/>
      <c r="E8" s="267"/>
      <c r="F8" s="267"/>
      <c r="G8" s="267"/>
      <c r="H8" s="267"/>
      <c r="I8" s="267"/>
      <c r="J8" s="267"/>
      <c r="K8" s="267"/>
      <c r="L8" s="267"/>
      <c r="M8" s="267"/>
      <c r="N8" s="267"/>
    </row>
    <row r="9" spans="1:15" ht="42.75" customHeight="1" x14ac:dyDescent="0.25">
      <c r="B9" s="56"/>
      <c r="C9" s="26"/>
      <c r="D9" s="57" t="s">
        <v>92</v>
      </c>
      <c r="E9" s="274" t="s">
        <v>64</v>
      </c>
      <c r="F9" s="274"/>
      <c r="G9" s="267" t="s">
        <v>81</v>
      </c>
      <c r="H9" s="267"/>
      <c r="I9" s="267"/>
      <c r="J9" s="267"/>
      <c r="K9" s="267"/>
      <c r="L9" s="267"/>
      <c r="M9" s="267"/>
      <c r="N9" s="267"/>
    </row>
    <row r="10" spans="1:15" ht="52.5" customHeight="1" x14ac:dyDescent="0.25">
      <c r="A10" s="54">
        <v>2</v>
      </c>
      <c r="B10" s="36">
        <v>131.36000000000001</v>
      </c>
      <c r="C10" s="279" t="s">
        <v>543</v>
      </c>
      <c r="D10" s="276"/>
      <c r="E10" s="276"/>
      <c r="F10" s="276"/>
      <c r="G10" s="276"/>
      <c r="H10" s="276"/>
      <c r="I10" s="276"/>
      <c r="J10" s="276"/>
      <c r="K10" s="276"/>
      <c r="L10" s="276"/>
      <c r="M10" s="276"/>
      <c r="N10" s="276"/>
      <c r="O10" s="212">
        <f>SUM('2.Heat Targets'!E58,'2.Heat Targets'!E61,'2.Heat Targets'!E64,'2.Heat Targets'!E67)</f>
        <v>0.72783301447003135</v>
      </c>
    </row>
    <row r="11" spans="1:15" ht="42.75" customHeight="1" x14ac:dyDescent="0.25">
      <c r="B11" s="54"/>
      <c r="C11" s="59"/>
      <c r="D11" s="33" t="s">
        <v>58</v>
      </c>
      <c r="E11" s="276" t="s">
        <v>86</v>
      </c>
      <c r="F11" s="276"/>
      <c r="G11" s="276"/>
      <c r="H11" s="276"/>
      <c r="I11" s="276"/>
      <c r="J11" s="276"/>
      <c r="K11" s="276"/>
      <c r="L11" s="276"/>
      <c r="M11" s="276"/>
      <c r="N11" s="276"/>
    </row>
    <row r="12" spans="1:15" ht="42.75" customHeight="1" x14ac:dyDescent="0.25">
      <c r="B12" s="56"/>
      <c r="C12" s="60"/>
      <c r="D12" s="34">
        <v>0.26</v>
      </c>
      <c r="E12" s="276" t="s">
        <v>83</v>
      </c>
      <c r="F12" s="276"/>
      <c r="G12" s="276"/>
      <c r="H12" s="276"/>
      <c r="I12" s="276"/>
      <c r="J12" s="276"/>
      <c r="K12" s="276"/>
      <c r="L12" s="276"/>
      <c r="M12" s="276"/>
      <c r="N12" s="276"/>
    </row>
    <row r="13" spans="1:15" ht="42.75" customHeight="1" x14ac:dyDescent="0.25">
      <c r="B13" s="56"/>
      <c r="C13" s="60"/>
      <c r="D13" s="34">
        <v>0.5</v>
      </c>
      <c r="E13" s="276" t="s">
        <v>84</v>
      </c>
      <c r="F13" s="276"/>
      <c r="G13" s="276"/>
      <c r="H13" s="276"/>
      <c r="I13" s="276"/>
      <c r="J13" s="276"/>
      <c r="K13" s="276"/>
      <c r="L13" s="276"/>
      <c r="M13" s="276"/>
      <c r="N13" s="276"/>
    </row>
    <row r="14" spans="1:15" ht="42.75" customHeight="1" x14ac:dyDescent="0.25">
      <c r="B14" s="56"/>
      <c r="C14" s="60"/>
      <c r="D14" s="34">
        <v>0.2</v>
      </c>
      <c r="E14" s="276" t="s">
        <v>85</v>
      </c>
      <c r="F14" s="276"/>
      <c r="G14" s="276"/>
      <c r="H14" s="276"/>
      <c r="I14" s="276"/>
      <c r="J14" s="276"/>
      <c r="K14" s="276"/>
      <c r="L14" s="276"/>
      <c r="M14" s="276"/>
      <c r="N14" s="276"/>
    </row>
    <row r="15" spans="1:15" ht="42.75" customHeight="1" x14ac:dyDescent="0.25">
      <c r="B15" s="56"/>
      <c r="C15" s="60"/>
      <c r="D15" s="35">
        <v>2.2999999999999998</v>
      </c>
      <c r="E15" s="276" t="s">
        <v>87</v>
      </c>
      <c r="F15" s="276"/>
      <c r="G15" s="276"/>
      <c r="H15" s="276"/>
      <c r="I15" s="276"/>
      <c r="J15" s="276"/>
      <c r="K15" s="276"/>
      <c r="L15" s="276"/>
      <c r="M15" s="276"/>
      <c r="N15" s="276"/>
    </row>
    <row r="16" spans="1:15" ht="42.75" customHeight="1" x14ac:dyDescent="0.25">
      <c r="B16" s="56"/>
      <c r="C16" s="60"/>
      <c r="D16" s="34">
        <f>(20000*1.25)/257000</f>
        <v>9.727626459143969E-2</v>
      </c>
      <c r="E16" s="276" t="s">
        <v>93</v>
      </c>
      <c r="F16" s="276"/>
      <c r="G16" s="276"/>
      <c r="H16" s="276"/>
      <c r="I16" s="276"/>
      <c r="J16" s="276"/>
      <c r="K16" s="276"/>
      <c r="L16" s="276"/>
      <c r="M16" s="276"/>
      <c r="N16" s="276"/>
    </row>
    <row r="17" spans="1:17" x14ac:dyDescent="0.25">
      <c r="B17" s="56"/>
      <c r="C17" s="27"/>
      <c r="F17" s="26"/>
      <c r="G17" s="27"/>
      <c r="H17" s="27"/>
      <c r="I17" s="27"/>
      <c r="J17" s="27"/>
      <c r="K17" s="27"/>
      <c r="L17" s="27"/>
    </row>
    <row r="18" spans="1:17" ht="42.75" customHeight="1" x14ac:dyDescent="0.25">
      <c r="B18" s="55">
        <f>B8*B10</f>
        <v>93002.880000000005</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36</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511.26217179636666</v>
      </c>
      <c r="C24" s="272" t="s">
        <v>541</v>
      </c>
      <c r="D24" s="273"/>
      <c r="E24" s="273"/>
      <c r="F24" s="273"/>
      <c r="G24" s="273"/>
      <c r="H24" s="273"/>
      <c r="I24" s="273"/>
      <c r="J24" s="273"/>
      <c r="K24" s="273"/>
      <c r="L24" s="273"/>
      <c r="M24" s="273"/>
      <c r="N24" s="273"/>
      <c r="O24" s="212">
        <f ca="1">SUM('2.Heat Targets'!E76,'2.Heat Targets'!E79,'2.Heat Targets'!E82,'2.Heat Targets'!E85)</f>
        <v>0.97869806368901258</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3</v>
      </c>
      <c r="L27" s="39">
        <f t="shared" ref="L27:L40" ca="1" si="1">IF(K27="","",K27/$K$41)</f>
        <v>8.3333333333333329E-2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10</v>
      </c>
      <c r="L28" s="41">
        <f t="shared" ca="1" si="1"/>
        <v>0.27777777777777779</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1</v>
      </c>
      <c r="L29" s="41">
        <f t="shared" ca="1" si="1"/>
        <v>2.7777777777777776E-2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1</v>
      </c>
      <c r="L31" s="41">
        <f t="shared" ca="1" si="1"/>
        <v>2.7777777777777776E-2</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1</v>
      </c>
      <c r="L32" s="41">
        <f t="shared" ca="1" si="1"/>
        <v>2.7777777777777776E-2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5</v>
      </c>
      <c r="L33" s="41">
        <f t="shared" ca="1" si="1"/>
        <v>0.1388888888888889</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5</v>
      </c>
      <c r="L35" s="41">
        <f t="shared" ca="1" si="1"/>
        <v>0.1388888888888889</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2.7777777777777776E-2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3</v>
      </c>
      <c r="L37" s="41">
        <f t="shared" ca="1" si="1"/>
        <v>8.3333333333333329E-2</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1</v>
      </c>
      <c r="L39" s="41">
        <f t="shared" ca="1" si="1"/>
        <v>2.7777777777777776E-2</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5</v>
      </c>
      <c r="L40" s="41">
        <f t="shared" ca="1" si="1"/>
        <v>0.1388888888888889</v>
      </c>
      <c r="Q40" s="23"/>
    </row>
    <row r="41" spans="2:19" ht="33" customHeight="1" x14ac:dyDescent="0.25">
      <c r="B41" s="54"/>
      <c r="D41" s="42"/>
      <c r="E41" s="185">
        <f>SUM(E27:E40)</f>
        <v>18617</v>
      </c>
      <c r="F41" s="185"/>
      <c r="G41" s="185">
        <f>SUM(G27:G40)</f>
        <v>201453</v>
      </c>
      <c r="H41" s="43"/>
      <c r="I41" s="44">
        <v>13000000</v>
      </c>
      <c r="J41" s="43"/>
      <c r="K41" s="185">
        <f ca="1">SUM(K27:K40)</f>
        <v>36</v>
      </c>
      <c r="L41" s="45">
        <f ca="1">SUMPRODUCT(J27:J40,L27:L40)</f>
        <v>511.26217179636666</v>
      </c>
      <c r="M41" s="277" t="s">
        <v>542</v>
      </c>
      <c r="N41" s="278"/>
      <c r="O41" s="278"/>
      <c r="P41" s="278"/>
      <c r="Q41" s="278"/>
      <c r="R41" s="278"/>
      <c r="S41" s="278"/>
    </row>
    <row r="42" spans="2:19" ht="22.5" customHeight="1" x14ac:dyDescent="0.25">
      <c r="B42" s="54"/>
    </row>
    <row r="43" spans="2:19" ht="37.5" customHeight="1" x14ac:dyDescent="0.25">
      <c r="B43" s="55">
        <f ca="1">B22*B24</f>
        <v>18405.438184669201</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1.7863174707328177E-3</v>
      </c>
      <c r="C45" s="266" t="s">
        <v>489</v>
      </c>
      <c r="D45" s="266"/>
      <c r="E45" s="266"/>
      <c r="F45" s="266"/>
      <c r="G45" s="266"/>
      <c r="H45" s="266"/>
      <c r="I45" s="266"/>
      <c r="J45" s="266"/>
      <c r="K45" s="266"/>
      <c r="L45" s="266"/>
      <c r="M45" s="266"/>
      <c r="N45" s="266"/>
      <c r="O45" s="266"/>
    </row>
    <row r="52" spans="4:4" x14ac:dyDescent="0.25">
      <c r="D52" s="23"/>
    </row>
  </sheetData>
  <mergeCells count="17">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82" sqref="C82:E82"/>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139123.53488372095</v>
      </c>
      <c r="C24" s="129">
        <f>'LEAP Region'!C14*1000</f>
        <v>116642.79069767443</v>
      </c>
      <c r="D24" s="129">
        <f>'LEAP Region'!D14*1000</f>
        <v>96377.302325581404</v>
      </c>
      <c r="E24" s="130">
        <f>'LEAP Region'!E14*1000</f>
        <v>65773.953488372092</v>
      </c>
      <c r="G24" s="281" t="s">
        <v>122</v>
      </c>
      <c r="H24" s="281"/>
      <c r="I24" s="281"/>
      <c r="J24" s="281"/>
      <c r="K24" s="281"/>
      <c r="L24" s="281"/>
      <c r="M24" s="281"/>
      <c r="N24" s="281"/>
    </row>
    <row r="25" spans="2:18" ht="56.25" customHeight="1" x14ac:dyDescent="0.25">
      <c r="B25" s="178">
        <f>('LEAP Region'!B7+'LEAP Region'!B8)*(2.4-1)*1000</f>
        <v>1110.3627906976744</v>
      </c>
      <c r="C25" s="179">
        <f>('LEAP Region'!C7+'LEAP Region'!C8)*(2.6-1)*1000</f>
        <v>5951.1069767441868</v>
      </c>
      <c r="D25" s="179">
        <f>('LEAP Region'!D7+'LEAP Region'!D8)*(2.8-1)*1000</f>
        <v>11716.241860465116</v>
      </c>
      <c r="E25" s="180">
        <f>('LEAP Region'!E7+'LEAP Region'!E8)*(2.3-1)*1000</f>
        <v>12550.381395348835</v>
      </c>
      <c r="G25" s="281" t="s">
        <v>178</v>
      </c>
      <c r="H25" s="281"/>
      <c r="I25" s="281"/>
      <c r="J25" s="281"/>
      <c r="K25" s="281"/>
      <c r="L25" s="281"/>
      <c r="M25" s="281"/>
      <c r="N25" s="281"/>
    </row>
    <row r="26" spans="2:18" ht="56.25" customHeight="1" x14ac:dyDescent="0.25">
      <c r="B26" s="128">
        <f>'LEAP Region'!H14*1000</f>
        <v>135540.83720930235</v>
      </c>
      <c r="C26" s="129">
        <f>'LEAP Region'!I14*1000</f>
        <v>110653.39534883722</v>
      </c>
      <c r="D26" s="129">
        <f>'LEAP Region'!J14*1000</f>
        <v>83687.441860465129</v>
      </c>
      <c r="E26" s="130">
        <f>'LEAP Region'!K14*1000</f>
        <v>47149.395348837214</v>
      </c>
      <c r="G26" s="281" t="s">
        <v>123</v>
      </c>
      <c r="H26" s="281"/>
      <c r="I26" s="281"/>
      <c r="J26" s="281"/>
      <c r="K26" s="281"/>
      <c r="L26" s="281"/>
      <c r="M26" s="281"/>
      <c r="N26" s="281"/>
    </row>
    <row r="27" spans="2:18" ht="56.25" customHeight="1" thickBot="1" x14ac:dyDescent="0.3">
      <c r="B27" s="181">
        <f>('LEAP Region'!H7+'LEAP Region'!H8)*(2.4-1)*1000</f>
        <v>1493.2465116279072</v>
      </c>
      <c r="C27" s="182">
        <f>('LEAP Region'!I7+'LEAP Region'!I8)*(2.6-1)*1000</f>
        <v>6826.2697674418623</v>
      </c>
      <c r="D27" s="182">
        <f>('LEAP Region'!J7+'LEAP Region'!J8)*(2.8-1)*1000</f>
        <v>15506.790697674418</v>
      </c>
      <c r="E27" s="183">
        <f>('LEAP Region'!K7+'LEAP Region'!K8)*(3-1)*1000</f>
        <v>21660.279069767443</v>
      </c>
      <c r="G27" s="281" t="s">
        <v>178</v>
      </c>
      <c r="H27" s="281"/>
      <c r="I27" s="281"/>
      <c r="J27" s="281"/>
      <c r="K27" s="281"/>
      <c r="L27" s="281"/>
      <c r="M27" s="281"/>
      <c r="N27" s="281"/>
    </row>
    <row r="28" spans="2:18" ht="56.25" customHeight="1" thickTop="1" x14ac:dyDescent="0.25">
      <c r="B28" s="128">
        <f>B24+B25-B26-B27</f>
        <v>3199.8139534883503</v>
      </c>
      <c r="C28" s="129">
        <f>C24+C25-C26-C27</f>
        <v>5114.2325581395244</v>
      </c>
      <c r="D28" s="129">
        <f>D24+D25-D26-D27</f>
        <v>8899.3116279069745</v>
      </c>
      <c r="E28" s="130">
        <f>E24+E25-E26-E27</f>
        <v>9514.6604651162779</v>
      </c>
      <c r="G28" s="281" t="s">
        <v>177</v>
      </c>
      <c r="H28" s="281"/>
      <c r="I28" s="281"/>
      <c r="J28" s="281"/>
      <c r="K28" s="281"/>
      <c r="L28" s="281"/>
      <c r="M28" s="281"/>
      <c r="N28" s="281"/>
    </row>
    <row r="29" spans="2:18" ht="56.25" customHeight="1" x14ac:dyDescent="0.25">
      <c r="B29" s="282">
        <f>0.25*'1.Current Heat'!B10</f>
        <v>32.840000000000003</v>
      </c>
      <c r="C29" s="283"/>
      <c r="D29" s="283"/>
      <c r="E29" s="284"/>
      <c r="G29" s="281" t="s">
        <v>124</v>
      </c>
      <c r="H29" s="281"/>
      <c r="I29" s="281"/>
      <c r="J29" s="281"/>
      <c r="K29" s="281"/>
      <c r="L29" s="281"/>
      <c r="M29" s="281"/>
      <c r="N29" s="281"/>
      <c r="R29">
        <v>60</v>
      </c>
    </row>
    <row r="30" spans="2:18" ht="56.25" customHeight="1" x14ac:dyDescent="0.25">
      <c r="B30" s="128">
        <f>B28/$B$29</f>
        <v>97.436478486246955</v>
      </c>
      <c r="C30" s="129">
        <f>C28/$B$29</f>
        <v>155.7318074951134</v>
      </c>
      <c r="D30" s="129">
        <f>D28/$B$29</f>
        <v>270.99000084978604</v>
      </c>
      <c r="E30" s="130">
        <f>E28/$B$29</f>
        <v>289.72778517406448</v>
      </c>
      <c r="G30" s="281" t="s">
        <v>125</v>
      </c>
      <c r="H30" s="281"/>
      <c r="I30" s="281"/>
      <c r="J30" s="281"/>
      <c r="K30" s="281"/>
      <c r="L30" s="281"/>
      <c r="M30" s="281"/>
      <c r="N30" s="281"/>
      <c r="R30">
        <v>96</v>
      </c>
    </row>
    <row r="31" spans="2:18" ht="56.25" customHeight="1" x14ac:dyDescent="0.25">
      <c r="B31" s="131">
        <f>'1.Current Heat'!B8</f>
        <v>708</v>
      </c>
      <c r="C31" s="132">
        <f t="shared" ref="C31:E31" si="0">B31*1.06</f>
        <v>750.48</v>
      </c>
      <c r="D31" s="132">
        <f t="shared" si="0"/>
        <v>795.50880000000006</v>
      </c>
      <c r="E31" s="133">
        <f t="shared" si="0"/>
        <v>843.23932800000011</v>
      </c>
      <c r="G31" s="281" t="s">
        <v>126</v>
      </c>
      <c r="H31" s="281"/>
      <c r="I31" s="281"/>
      <c r="J31" s="281"/>
      <c r="K31" s="281"/>
      <c r="L31" s="281"/>
      <c r="M31" s="281"/>
      <c r="N31" s="281"/>
      <c r="O31" s="186">
        <f>(E31/B31)^(1/(E23-B23))-1</f>
        <v>5.006971033976404E-3</v>
      </c>
      <c r="R31">
        <f>R29+R30</f>
        <v>156</v>
      </c>
    </row>
    <row r="32" spans="2:18" ht="56.25" customHeight="1" x14ac:dyDescent="0.25">
      <c r="B32" s="134">
        <f>B30/B31</f>
        <v>0.13762214475458609</v>
      </c>
      <c r="C32" s="135">
        <f>C30/C31</f>
        <v>0.20750960384702244</v>
      </c>
      <c r="D32" s="135">
        <f>D30/D31</f>
        <v>0.34064990965503589</v>
      </c>
      <c r="E32" s="136">
        <f>E30/E31</f>
        <v>0.34358903285647563</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22231.66552433174</v>
      </c>
      <c r="C37" s="129">
        <f>('LEAP Region'!O11-'LEAP Region'!O6)*1000</f>
        <v>21145.990404386572</v>
      </c>
      <c r="D37" s="129">
        <f>('LEAP Region'!P11-'LEAP Region'!P6)*1000</f>
        <v>19566.826593557234</v>
      </c>
      <c r="E37" s="130">
        <f>('LEAP Region'!Q11-'LEAP Region'!Q6)*1000</f>
        <v>17370.801919122685</v>
      </c>
      <c r="G37" s="281" t="s">
        <v>179</v>
      </c>
      <c r="H37" s="281"/>
      <c r="I37" s="281"/>
      <c r="J37" s="281"/>
      <c r="K37" s="281"/>
      <c r="L37" s="281"/>
      <c r="M37" s="281"/>
      <c r="N37" s="281"/>
    </row>
    <row r="38" spans="2:34" ht="56.25" customHeight="1" x14ac:dyDescent="0.25">
      <c r="B38" s="128">
        <f>'LEAP Region'!N6*1000</f>
        <v>18604.523646333106</v>
      </c>
      <c r="C38" s="129">
        <f>'LEAP Region'!O6*1000</f>
        <v>19788.896504455111</v>
      </c>
      <c r="D38" s="129">
        <f>'LEAP Region'!P6*1000</f>
        <v>20652.501713502399</v>
      </c>
      <c r="E38" s="130">
        <f>'LEAP Region'!Q6*1000</f>
        <v>22478.409869773819</v>
      </c>
      <c r="F38" s="184"/>
      <c r="G38" s="281" t="s">
        <v>97</v>
      </c>
      <c r="H38" s="281"/>
      <c r="I38" s="281"/>
      <c r="J38" s="281"/>
      <c r="K38" s="281"/>
      <c r="L38" s="281"/>
      <c r="M38" s="281"/>
      <c r="N38" s="281"/>
    </row>
    <row r="39" spans="2:34" ht="56.25" customHeight="1" x14ac:dyDescent="0.25">
      <c r="B39" s="128">
        <f>0.005*B38</f>
        <v>93.022618231665533</v>
      </c>
      <c r="C39" s="129">
        <f>B39-(($B$39-$E$39)/3)</f>
        <v>436.65524331734065</v>
      </c>
      <c r="D39" s="129">
        <f>C39-(($B$39-$E$39)/3)</f>
        <v>780.28786840301575</v>
      </c>
      <c r="E39" s="130">
        <f>0.05*E38</f>
        <v>1123.9204934886909</v>
      </c>
      <c r="G39" s="281" t="s">
        <v>195</v>
      </c>
      <c r="H39" s="281"/>
      <c r="I39" s="281"/>
      <c r="J39" s="281"/>
      <c r="K39" s="281"/>
      <c r="L39" s="281"/>
      <c r="M39" s="281"/>
      <c r="N39" s="281"/>
      <c r="V39" s="21"/>
      <c r="W39" s="21"/>
      <c r="X39" s="21"/>
      <c r="Y39" s="21"/>
      <c r="AH39" s="21"/>
    </row>
    <row r="40" spans="2:34" ht="56.25" customHeight="1" x14ac:dyDescent="0.25">
      <c r="B40" s="142">
        <f>B39*(2.4-1)</f>
        <v>130.23166552433173</v>
      </c>
      <c r="C40" s="143">
        <f>C39*(2.6-1)</f>
        <v>698.64838930774511</v>
      </c>
      <c r="D40" s="143">
        <f>D39*(2.8-1)</f>
        <v>1404.5181631254281</v>
      </c>
      <c r="E40" s="144">
        <f>E39*(3-1)</f>
        <v>2247.8409869773818</v>
      </c>
      <c r="G40" s="281" t="s">
        <v>196</v>
      </c>
      <c r="H40" s="281"/>
      <c r="I40" s="281"/>
      <c r="J40" s="281"/>
      <c r="K40" s="281"/>
      <c r="L40" s="281"/>
      <c r="M40" s="281"/>
      <c r="N40" s="281"/>
      <c r="V40" s="21"/>
      <c r="W40" s="21"/>
      <c r="X40" s="21"/>
      <c r="Y40" s="21"/>
      <c r="AH40" s="21"/>
    </row>
    <row r="41" spans="2:34" ht="56.25" customHeight="1" x14ac:dyDescent="0.25">
      <c r="B41" s="128">
        <f>('LEAP Region'!T11-'LEAP Region'!T6)*1000</f>
        <v>22157.642220699108</v>
      </c>
      <c r="C41" s="129">
        <f>('LEAP Region'!U11-'LEAP Region'!U6)*1000</f>
        <v>20603.152844413991</v>
      </c>
      <c r="D41" s="129">
        <f>('LEAP Region'!V11-'LEAP Region'!V6)*1000</f>
        <v>18530.500342700485</v>
      </c>
      <c r="E41" s="130">
        <f>('LEAP Region'!W11-'LEAP Region'!W6)*1000</f>
        <v>15544.89376285127</v>
      </c>
      <c r="G41" s="281" t="s">
        <v>197</v>
      </c>
      <c r="H41" s="281"/>
      <c r="I41" s="281"/>
      <c r="J41" s="281"/>
      <c r="K41" s="281"/>
      <c r="L41" s="281"/>
      <c r="M41" s="281"/>
      <c r="N41" s="281"/>
      <c r="AH41" s="21"/>
    </row>
    <row r="42" spans="2:34" ht="56.25" customHeight="1" x14ac:dyDescent="0.25">
      <c r="B42" s="128">
        <f>'LEAP Region'!T6*1000</f>
        <v>18357.779300891023</v>
      </c>
      <c r="C42" s="129">
        <f>'LEAP Region'!U6*1000</f>
        <v>18185.058259081565</v>
      </c>
      <c r="D42" s="129">
        <f>'LEAP Region'!V6*1000</f>
        <v>17617.546264564771</v>
      </c>
      <c r="E42" s="130">
        <f>'LEAP Region'!W6*1000</f>
        <v>17074.708704592187</v>
      </c>
      <c r="G42" s="281" t="s">
        <v>98</v>
      </c>
      <c r="H42" s="281"/>
      <c r="I42" s="281"/>
      <c r="J42" s="281"/>
      <c r="K42" s="281"/>
      <c r="L42" s="281"/>
      <c r="M42" s="281"/>
      <c r="N42" s="281"/>
      <c r="V42" s="29"/>
      <c r="W42" s="29"/>
      <c r="X42" s="29"/>
      <c r="Y42" s="29"/>
      <c r="AH42" s="21"/>
    </row>
    <row r="43" spans="2:34" ht="56.25" customHeight="1" x14ac:dyDescent="0.25">
      <c r="B43" s="128">
        <f>B39</f>
        <v>93.022618231665533</v>
      </c>
      <c r="C43" s="129">
        <f>B43-(($B$43-$E$43)/3)</f>
        <v>524.03015764222039</v>
      </c>
      <c r="D43" s="129">
        <f>C43-(($B$43-$E$43)/3)</f>
        <v>955.03769705277523</v>
      </c>
      <c r="E43" s="130">
        <f>0.8*((E37+E39+E40-E41)/3)</f>
        <v>1386.0452364633302</v>
      </c>
      <c r="G43" s="281" t="s">
        <v>142</v>
      </c>
      <c r="H43" s="281"/>
      <c r="I43" s="281"/>
      <c r="J43" s="281"/>
      <c r="K43" s="281"/>
      <c r="L43" s="281"/>
      <c r="M43" s="281"/>
      <c r="N43" s="281"/>
      <c r="AH43" s="21"/>
    </row>
    <row r="44" spans="2:34" ht="56.25" customHeight="1" x14ac:dyDescent="0.25">
      <c r="B44" s="128">
        <f>B43*(2.4-1)</f>
        <v>130.23166552433173</v>
      </c>
      <c r="C44" s="129">
        <f>C43*(2.6-1)</f>
        <v>838.44825222755264</v>
      </c>
      <c r="D44" s="129">
        <f>D43*(2.8-1)</f>
        <v>1719.0678546949953</v>
      </c>
      <c r="E44" s="130">
        <f>E43*(3-1)</f>
        <v>2772.0904729266604</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74.023303632630302</v>
      </c>
      <c r="C45" s="129">
        <f>C37+C39+C40-C41-C43-C44</f>
        <v>315.66278272789521</v>
      </c>
      <c r="D45" s="129">
        <f>D37+D39+D40-D41-D43-D44</f>
        <v>547.02673063742122</v>
      </c>
      <c r="E45" s="130">
        <f>E37+E39+E40-E41-E43-E44</f>
        <v>1039.5339273474974</v>
      </c>
      <c r="F45" s="92"/>
      <c r="G45" s="281" t="s">
        <v>149</v>
      </c>
      <c r="H45" s="281"/>
      <c r="I45" s="281"/>
      <c r="J45" s="281"/>
      <c r="K45" s="281"/>
      <c r="L45" s="281"/>
      <c r="M45" s="281"/>
      <c r="N45" s="281"/>
      <c r="R45">
        <v>6</v>
      </c>
      <c r="AH45" s="21"/>
    </row>
    <row r="46" spans="2:34" ht="56.25" customHeight="1" x14ac:dyDescent="0.25">
      <c r="B46" s="285">
        <f ca="1">0.2*'1.Current Heat'!B24</f>
        <v>102.25243435927334</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0.72392705461214368</v>
      </c>
      <c r="C47" s="129">
        <f ca="1">C45/$B$46</f>
        <v>3.0870930819972946</v>
      </c>
      <c r="D47" s="129">
        <f ca="1">D45/$B$46</f>
        <v>5.3497673093570803</v>
      </c>
      <c r="E47" s="130">
        <f ca="1">E45/$B$46</f>
        <v>10.166348936935812</v>
      </c>
      <c r="G47" s="281" t="s">
        <v>128</v>
      </c>
      <c r="H47" s="281"/>
      <c r="I47" s="281"/>
      <c r="J47" s="281"/>
      <c r="K47" s="281"/>
      <c r="L47" s="281"/>
      <c r="M47" s="281"/>
      <c r="N47" s="281"/>
    </row>
    <row r="48" spans="2:34" ht="56.25" customHeight="1" x14ac:dyDescent="0.25">
      <c r="B48" s="131">
        <f ca="1">'1.Current Heat'!B22</f>
        <v>36</v>
      </c>
      <c r="C48" s="132">
        <f t="shared" ref="C48:E48" ca="1" si="1">B48*1.06</f>
        <v>38.160000000000004</v>
      </c>
      <c r="D48" s="132">
        <f t="shared" ca="1" si="1"/>
        <v>40.449600000000004</v>
      </c>
      <c r="E48" s="133">
        <f t="shared" ca="1" si="1"/>
        <v>42.876576000000007</v>
      </c>
      <c r="G48" s="281" t="s">
        <v>194</v>
      </c>
      <c r="H48" s="281"/>
      <c r="I48" s="281"/>
      <c r="J48" s="281"/>
      <c r="K48" s="281"/>
      <c r="L48" s="281"/>
      <c r="M48" s="281"/>
      <c r="N48" s="281"/>
      <c r="O48" s="186">
        <f ca="1">(E48/B48)^(1/(E36-B36))-1</f>
        <v>5.006971033976404E-3</v>
      </c>
    </row>
    <row r="49" spans="1:14" ht="56.25" customHeight="1" x14ac:dyDescent="0.25">
      <c r="B49" s="134">
        <f ca="1">B47/B48</f>
        <v>2.0109084850337324E-2</v>
      </c>
      <c r="C49" s="135">
        <f ca="1">C47/C48</f>
        <v>8.0898665670788641E-2</v>
      </c>
      <c r="D49" s="135">
        <f ca="1">D47/D48</f>
        <v>0.13225760722867666</v>
      </c>
      <c r="E49" s="136">
        <f ca="1">E47/E48</f>
        <v>0.23710729459684024</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131.36000000000001</v>
      </c>
      <c r="C54" s="147">
        <f>C32*($B$54-$B$29)+(1-C32)*$B$54</f>
        <v>124.54538460966378</v>
      </c>
      <c r="D54" s="147">
        <f>D32*($B$54-$B$29)+(1-D32)*$B$54</f>
        <v>120.17305696692861</v>
      </c>
      <c r="E54" s="148">
        <f>E32*($B$54-$B$29)+(1-E32)*$B$54</f>
        <v>120.07653616099333</v>
      </c>
      <c r="F54" s="1"/>
      <c r="G54" s="281" t="s">
        <v>109</v>
      </c>
      <c r="H54" s="281"/>
      <c r="I54" s="281"/>
      <c r="J54" s="281"/>
      <c r="K54" s="281"/>
      <c r="L54" s="281"/>
      <c r="M54" s="281"/>
      <c r="N54" s="281"/>
    </row>
    <row r="55" spans="1:14" ht="56.25" customHeight="1" x14ac:dyDescent="0.25">
      <c r="B55" s="149">
        <f>('LEAP Region'!H4+'LEAP Region'!H9+'LEAP Region'!H12)*1000</f>
        <v>49993.674418604656</v>
      </c>
      <c r="C55" s="150">
        <f>('LEAP Region'!I4+'LEAP Region'!I9+'LEAP Region'!I12)*1000</f>
        <v>36291.906976744191</v>
      </c>
      <c r="D55" s="150">
        <f>('LEAP Region'!J4+'LEAP Region'!J9+'LEAP Region'!J12)*1000</f>
        <v>23082.418604651168</v>
      </c>
      <c r="E55" s="151">
        <f>('LEAP Region'!K4+'LEAP Region'!K9+'LEAP Region'!K12)*1000</f>
        <v>3473.302325581396</v>
      </c>
      <c r="G55" s="281" t="s">
        <v>110</v>
      </c>
      <c r="H55" s="281"/>
      <c r="I55" s="281"/>
      <c r="J55" s="281"/>
      <c r="K55" s="281"/>
      <c r="L55" s="281"/>
      <c r="M55" s="281"/>
      <c r="N55" s="281"/>
    </row>
    <row r="56" spans="1:14" ht="56.25" customHeight="1" x14ac:dyDescent="0.25">
      <c r="B56" s="152">
        <f>'LEAP Region'!H4*1000/'2.Heat Targets'!B55</f>
        <v>7.658643326039387E-3</v>
      </c>
      <c r="C56" s="153">
        <f>'LEAP Region'!I4*1000/'2.Heat Targets'!C55</f>
        <v>3.7678975131876409E-2</v>
      </c>
      <c r="D56" s="153">
        <f>'LEAP Region'!J4*1000/'2.Heat Targets'!D55</f>
        <v>9.7156398104265393E-2</v>
      </c>
      <c r="E56" s="154">
        <f>'LEAP Region'!K4*1000/'2.Heat Targets'!E55</f>
        <v>1</v>
      </c>
      <c r="G56" s="281" t="s">
        <v>137</v>
      </c>
      <c r="H56" s="281"/>
      <c r="I56" s="281"/>
      <c r="J56" s="281"/>
      <c r="K56" s="281"/>
      <c r="L56" s="281"/>
      <c r="M56" s="281"/>
      <c r="N56" s="281"/>
    </row>
    <row r="57" spans="1:14" ht="56.25" customHeight="1" x14ac:dyDescent="0.25">
      <c r="B57" s="128">
        <f>B55/B54</f>
        <v>380.58521938645441</v>
      </c>
      <c r="C57" s="129">
        <f>C55/C54</f>
        <v>291.39503716244667</v>
      </c>
      <c r="D57" s="129">
        <f>D55/D54</f>
        <v>192.07648692005401</v>
      </c>
      <c r="E57" s="130">
        <f>E55/E54</f>
        <v>28.9257371725359</v>
      </c>
      <c r="G57" s="281" t="s">
        <v>111</v>
      </c>
      <c r="H57" s="281"/>
      <c r="I57" s="281"/>
      <c r="J57" s="281"/>
      <c r="K57" s="281"/>
      <c r="L57" s="281"/>
      <c r="M57" s="281"/>
      <c r="N57" s="281"/>
    </row>
    <row r="58" spans="1:14" ht="56.25" customHeight="1" x14ac:dyDescent="0.25">
      <c r="B58" s="134">
        <f>B57/B31</f>
        <v>0.53754974489612206</v>
      </c>
      <c r="C58" s="135">
        <f>C57/C31</f>
        <v>0.38827821815697511</v>
      </c>
      <c r="D58" s="135">
        <f>D57/D31</f>
        <v>0.24145111521086127</v>
      </c>
      <c r="E58" s="136">
        <f>E57/E31</f>
        <v>3.4303116816363548E-2</v>
      </c>
      <c r="G58" s="281" t="s">
        <v>130</v>
      </c>
      <c r="H58" s="281"/>
      <c r="I58" s="281"/>
      <c r="J58" s="281"/>
      <c r="K58" s="281"/>
      <c r="L58" s="281"/>
      <c r="M58" s="281"/>
      <c r="N58" s="281"/>
    </row>
    <row r="59" spans="1:14" ht="56.25" customHeight="1" x14ac:dyDescent="0.25">
      <c r="B59" s="149">
        <f>('LEAP Region'!H5+'LEAP Region'!H13)*1000</f>
        <v>59483.720930232565</v>
      </c>
      <c r="C59" s="150">
        <f>('LEAP Region'!I5+'LEAP Region'!I13)*1000</f>
        <v>49856.930232558145</v>
      </c>
      <c r="D59" s="150">
        <f>('LEAP Region'!J5+'LEAP Region'!J13)*1000</f>
        <v>39519.069767441862</v>
      </c>
      <c r="E59" s="151">
        <f>('LEAP Region'!K5+'LEAP Region'!K13)*1000</f>
        <v>28606.883720930236</v>
      </c>
      <c r="G59" s="281" t="s">
        <v>112</v>
      </c>
      <c r="H59" s="281"/>
      <c r="I59" s="281"/>
      <c r="J59" s="281"/>
      <c r="K59" s="281"/>
      <c r="L59" s="281"/>
      <c r="M59" s="281"/>
      <c r="N59" s="281"/>
    </row>
    <row r="60" spans="1:14" ht="56.25" customHeight="1" x14ac:dyDescent="0.25">
      <c r="A60" s="2"/>
      <c r="B60" s="128">
        <f>B59/B54</f>
        <v>452.82978783672775</v>
      </c>
      <c r="C60" s="129">
        <f>C59/C54</f>
        <v>400.31134344170329</v>
      </c>
      <c r="D60" s="129">
        <f>D59/D54</f>
        <v>328.85133127900235</v>
      </c>
      <c r="E60" s="130">
        <f>E59/E54</f>
        <v>238.23874868088623</v>
      </c>
      <c r="G60" s="281" t="s">
        <v>140</v>
      </c>
      <c r="H60" s="281"/>
      <c r="I60" s="281"/>
      <c r="J60" s="281"/>
      <c r="K60" s="281"/>
      <c r="L60" s="281"/>
      <c r="M60" s="281"/>
      <c r="N60" s="281"/>
    </row>
    <row r="61" spans="1:14" ht="56.25" customHeight="1" x14ac:dyDescent="0.25">
      <c r="B61" s="134">
        <f>B60/B31</f>
        <v>0.63959009581458726</v>
      </c>
      <c r="C61" s="135">
        <f>C60/C31</f>
        <v>0.53340707739273974</v>
      </c>
      <c r="D61" s="135">
        <f>D60/D31</f>
        <v>0.41338490696646263</v>
      </c>
      <c r="E61" s="136">
        <f>E60/E31</f>
        <v>0.28252803299146667</v>
      </c>
      <c r="G61" s="281" t="s">
        <v>131</v>
      </c>
      <c r="H61" s="281"/>
      <c r="I61" s="281"/>
      <c r="J61" s="281"/>
      <c r="K61" s="281"/>
      <c r="L61" s="281"/>
      <c r="M61" s="281"/>
      <c r="N61" s="281"/>
    </row>
    <row r="62" spans="1:14" ht="56.25" customHeight="1" x14ac:dyDescent="0.25">
      <c r="B62" s="149">
        <f>('LEAP Region'!H7+'LEAP Region'!H8)*1000</f>
        <v>1066.604651162791</v>
      </c>
      <c r="C62" s="150">
        <f>('LEAP Region'!I7+'LEAP Region'!I8)*1000</f>
        <v>4266.4186046511641</v>
      </c>
      <c r="D62" s="150">
        <f>('LEAP Region'!J7+'LEAP Region'!J8)*1000</f>
        <v>8614.8837209302328</v>
      </c>
      <c r="E62" s="151">
        <f>('LEAP Region'!K7+'LEAP Region'!K8)*1000</f>
        <v>10830.139534883721</v>
      </c>
      <c r="G62" s="281" t="s">
        <v>113</v>
      </c>
      <c r="H62" s="281"/>
      <c r="I62" s="281"/>
      <c r="J62" s="281"/>
      <c r="K62" s="281"/>
      <c r="L62" s="281"/>
      <c r="M62" s="281"/>
      <c r="N62" s="281"/>
    </row>
    <row r="63" spans="1:14" ht="56.25" customHeight="1" x14ac:dyDescent="0.25">
      <c r="B63" s="128">
        <f>B62/((0.7*B54)/2.4)</f>
        <v>27.838993853213616</v>
      </c>
      <c r="C63" s="129">
        <f>C62/((0.75*C54)/2.6)</f>
        <v>118.75390813673788</v>
      </c>
      <c r="D63" s="129">
        <f>D62/((0.8*D54)/2.8)</f>
        <v>250.90560050871977</v>
      </c>
      <c r="E63" s="130">
        <f>E62/((0.85*E54)/3)</f>
        <v>318.33048412202544</v>
      </c>
      <c r="F63" s="91"/>
      <c r="G63" s="281" t="s">
        <v>180</v>
      </c>
      <c r="H63" s="281"/>
      <c r="I63" s="281"/>
      <c r="J63" s="281"/>
      <c r="K63" s="281"/>
      <c r="L63" s="281"/>
      <c r="M63" s="281"/>
      <c r="N63" s="281"/>
    </row>
    <row r="64" spans="1:14" ht="56.25" customHeight="1" x14ac:dyDescent="0.25">
      <c r="B64" s="134">
        <f>B63/B31</f>
        <v>3.9320612787024881E-2</v>
      </c>
      <c r="C64" s="135">
        <f>C63/C31</f>
        <v>0.15823727232802723</v>
      </c>
      <c r="D64" s="135">
        <f>D63/D31</f>
        <v>0.31540267123219723</v>
      </c>
      <c r="E64" s="136">
        <f>E63/E31</f>
        <v>0.37750905769189336</v>
      </c>
      <c r="G64" s="281" t="s">
        <v>114</v>
      </c>
      <c r="H64" s="281"/>
      <c r="I64" s="281"/>
      <c r="J64" s="281"/>
      <c r="K64" s="281"/>
      <c r="L64" s="281"/>
      <c r="M64" s="281"/>
      <c r="N64" s="281"/>
    </row>
    <row r="65" spans="1:20" ht="56.25" customHeight="1" x14ac:dyDescent="0.25">
      <c r="B65" s="149">
        <f>('LEAP Region'!H10+'LEAP Region'!H11)*1000</f>
        <v>19335.627906976748</v>
      </c>
      <c r="C65" s="150">
        <f>('LEAP Region'!I10+'LEAP Region'!I11)*1000</f>
        <v>15123.906976744187</v>
      </c>
      <c r="D65" s="150">
        <f>('LEAP Region'!J10+'LEAP Region'!J11)*1000</f>
        <v>9681.4883720930247</v>
      </c>
      <c r="E65" s="151">
        <f>('LEAP Region'!K10+'LEAP Region'!K11)*1000</f>
        <v>3391.2558139534885</v>
      </c>
      <c r="G65" s="281" t="s">
        <v>115</v>
      </c>
      <c r="H65" s="281"/>
      <c r="I65" s="281"/>
      <c r="J65" s="281"/>
      <c r="K65" s="281"/>
      <c r="L65" s="281"/>
      <c r="M65" s="281"/>
      <c r="N65" s="281"/>
    </row>
    <row r="66" spans="1:20" ht="56.25" customHeight="1" x14ac:dyDescent="0.25">
      <c r="B66" s="128">
        <f>B65/B54</f>
        <v>147.19570574738691</v>
      </c>
      <c r="C66" s="129">
        <f>C65/C54</f>
        <v>121.43289792828409</v>
      </c>
      <c r="D66" s="129">
        <f>D65/D54</f>
        <v>80.562886693956287</v>
      </c>
      <c r="E66" s="130">
        <f>E65/E54</f>
        <v>28.242452042475993</v>
      </c>
      <c r="G66" s="281" t="s">
        <v>146</v>
      </c>
      <c r="H66" s="281"/>
      <c r="I66" s="281"/>
      <c r="J66" s="281"/>
      <c r="K66" s="281"/>
      <c r="L66" s="281"/>
      <c r="M66" s="281"/>
      <c r="N66" s="281"/>
    </row>
    <row r="67" spans="1:20" ht="56.25" customHeight="1" x14ac:dyDescent="0.25">
      <c r="A67" s="21"/>
      <c r="B67" s="134">
        <f>B66/B31</f>
        <v>0.20790353919122445</v>
      </c>
      <c r="C67" s="135">
        <f>C66/C31</f>
        <v>0.16180697410761657</v>
      </c>
      <c r="D67" s="135">
        <f>D66/D31</f>
        <v>0.10127215021877355</v>
      </c>
      <c r="E67" s="136">
        <f>E66/E31</f>
        <v>3.3492806970307709E-2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511.26217179636666</v>
      </c>
      <c r="C72" s="156">
        <f ca="1">C49*($B$72-$B$46)+(1-C49)*$B$72</f>
        <v>502.99008629511155</v>
      </c>
      <c r="D72" s="156">
        <f ca="1">D49*($B$72-$B$46)+(1-D49)*$B$72</f>
        <v>497.73850949470187</v>
      </c>
      <c r="E72" s="157">
        <f ca="1">E49*($B$72-$B$46)+(1-E49)*$B$72</f>
        <v>487.01737371949838</v>
      </c>
      <c r="G72" s="280" t="s">
        <v>134</v>
      </c>
      <c r="H72" s="280"/>
      <c r="I72" s="280"/>
      <c r="J72" s="280"/>
      <c r="K72" s="280"/>
      <c r="L72" s="280"/>
      <c r="M72" s="280"/>
      <c r="N72" s="280"/>
    </row>
    <row r="73" spans="1:20" ht="56.25" customHeight="1" x14ac:dyDescent="0.25">
      <c r="B73" s="149">
        <f>('LEAP Region'!T4+'LEAP Region'!T5+'LEAP Region'!T9)*1000</f>
        <v>11300.891021247431</v>
      </c>
      <c r="C73" s="150">
        <f>('LEAP Region'!U4+'LEAP Region'!U5+'LEAP Region'!U9)*1000</f>
        <v>9474.9828649760129</v>
      </c>
      <c r="D73" s="150">
        <f>('LEAP Region'!V4+'LEAP Region'!V5+'LEAP Region'!V9)*1000</f>
        <v>7352.9814941740924</v>
      </c>
      <c r="E73" s="151">
        <f>('LEAP Region'!W4+'LEAP Region'!W5+'LEAP Region'!W9)*1000</f>
        <v>4071.2816997943805</v>
      </c>
      <c r="G73" s="281" t="s">
        <v>133</v>
      </c>
      <c r="H73" s="281"/>
      <c r="I73" s="281"/>
      <c r="J73" s="281"/>
      <c r="K73" s="281"/>
      <c r="L73" s="281"/>
      <c r="M73" s="281"/>
      <c r="N73" s="281"/>
    </row>
    <row r="74" spans="1:20" ht="56.25" customHeight="1" x14ac:dyDescent="0.25">
      <c r="B74" s="158">
        <f ca="1">com_share_state_target*'LEAP Statewide'!T4*1000/'2.Heat Targets'!B73</f>
        <v>6.512431599934876E-3</v>
      </c>
      <c r="C74" s="145">
        <f ca="1">com_share_state_target*'LEAP Statewide'!U4*1000/'2.Heat Targets'!C73</f>
        <v>4.8565299485841214E-2</v>
      </c>
      <c r="D74" s="145">
        <f ca="1">com_share_state_target*'LEAP Statewide'!V4*1000/'2.Heat Targets'!D73</f>
        <v>0.11741185997669129</v>
      </c>
      <c r="E74" s="159">
        <f ca="1">com_share_state_target*'LEAP Statewide'!W4*1000/'2.Heat Targets'!E73</f>
        <v>0.37707074762852116</v>
      </c>
      <c r="G74" s="281" t="s">
        <v>136</v>
      </c>
      <c r="H74" s="281"/>
      <c r="I74" s="281"/>
      <c r="J74" s="281"/>
      <c r="K74" s="281"/>
      <c r="L74" s="281"/>
      <c r="M74" s="281"/>
      <c r="N74" s="281"/>
    </row>
    <row r="75" spans="1:20" ht="56.25" customHeight="1" x14ac:dyDescent="0.25">
      <c r="B75" s="128">
        <f ca="1">B73/B72</f>
        <v>22.10390606748923</v>
      </c>
      <c r="C75" s="129">
        <f ca="1">C73/C72</f>
        <v>18.837315333123492</v>
      </c>
      <c r="D75" s="129">
        <f ca="1">D73/D72</f>
        <v>14.772779991724471</v>
      </c>
      <c r="E75" s="130">
        <f ca="1">E73/E72</f>
        <v>8.3596231253533642</v>
      </c>
      <c r="G75" s="281" t="s">
        <v>135</v>
      </c>
      <c r="H75" s="281"/>
      <c r="I75" s="281"/>
      <c r="J75" s="281"/>
      <c r="K75" s="281"/>
      <c r="L75" s="281"/>
      <c r="M75" s="281"/>
      <c r="N75" s="281"/>
    </row>
    <row r="76" spans="1:20" ht="56.25" customHeight="1" x14ac:dyDescent="0.25">
      <c r="B76" s="134">
        <f ca="1">B75/B48</f>
        <v>0.61399739076358972</v>
      </c>
      <c r="C76" s="135">
        <f ca="1">C75/C48</f>
        <v>0.49364033891833042</v>
      </c>
      <c r="D76" s="135">
        <f ca="1">D75/D48</f>
        <v>0.36521448893745478</v>
      </c>
      <c r="E76" s="136">
        <f ca="1">E75/E48</f>
        <v>0.19496946597026224</v>
      </c>
      <c r="G76" s="281" t="s">
        <v>181</v>
      </c>
      <c r="H76" s="281"/>
      <c r="I76" s="281"/>
      <c r="J76" s="281"/>
      <c r="K76" s="281"/>
      <c r="L76" s="281"/>
      <c r="M76" s="281"/>
      <c r="N76" s="281"/>
    </row>
    <row r="77" spans="1:20" ht="56.25" customHeight="1" x14ac:dyDescent="0.25">
      <c r="B77" s="128">
        <f>'LEAP Region'!T10*1000</f>
        <v>3479.0952707333795</v>
      </c>
      <c r="C77" s="129">
        <f>'LEAP Region'!U10*1000</f>
        <v>4762.165867032214</v>
      </c>
      <c r="D77" s="129">
        <f>'LEAP Region'!V10*1000</f>
        <v>6020.5620287868414</v>
      </c>
      <c r="E77" s="130">
        <f>'LEAP Region'!W10*1000</f>
        <v>8191.9122686771771</v>
      </c>
      <c r="G77" s="281" t="s">
        <v>138</v>
      </c>
      <c r="H77" s="281"/>
      <c r="I77" s="281"/>
      <c r="J77" s="281"/>
      <c r="K77" s="281"/>
      <c r="L77" s="281"/>
      <c r="M77" s="281"/>
      <c r="N77" s="281"/>
    </row>
    <row r="78" spans="1:20" ht="56.25" customHeight="1" x14ac:dyDescent="0.25">
      <c r="B78" s="128">
        <f ca="1">B77/B72</f>
        <v>6.804914313353672</v>
      </c>
      <c r="C78" s="129">
        <f ca="1">C77/C72</f>
        <v>9.4677131752417534</v>
      </c>
      <c r="D78" s="129">
        <f ca="1">D77/D72</f>
        <v>12.095833281814668</v>
      </c>
      <c r="E78" s="130">
        <f ca="1">E77/E72</f>
        <v>16.820575015862527</v>
      </c>
      <c r="G78" s="281" t="s">
        <v>139</v>
      </c>
      <c r="H78" s="281"/>
      <c r="I78" s="281"/>
      <c r="J78" s="281"/>
      <c r="K78" s="281"/>
      <c r="L78" s="281"/>
      <c r="M78" s="281"/>
      <c r="N78" s="281"/>
    </row>
    <row r="79" spans="1:20" ht="56.25" customHeight="1" x14ac:dyDescent="0.25">
      <c r="B79" s="134">
        <f ca="1">B78/B48</f>
        <v>0.18902539759315756</v>
      </c>
      <c r="C79" s="135">
        <f ca="1">C78/C48</f>
        <v>0.24810569117509834</v>
      </c>
      <c r="D79" s="135">
        <f ca="1">D78/D48</f>
        <v>0.29903468221724483</v>
      </c>
      <c r="E79" s="136">
        <f ca="1">E78/E48</f>
        <v>0.39230219819470952</v>
      </c>
      <c r="G79" s="281" t="s">
        <v>141</v>
      </c>
      <c r="H79" s="281"/>
      <c r="I79" s="281"/>
      <c r="J79" s="281"/>
      <c r="K79" s="281"/>
      <c r="L79" s="281"/>
      <c r="M79" s="281"/>
      <c r="N79" s="281"/>
    </row>
    <row r="80" spans="1:20" ht="56.25" customHeight="1" x14ac:dyDescent="0.25">
      <c r="B80" s="149">
        <f>B43</f>
        <v>93.022618231665533</v>
      </c>
      <c r="C80" s="150">
        <f>C43</f>
        <v>524.03015764222039</v>
      </c>
      <c r="D80" s="150">
        <f>D43</f>
        <v>955.03769705277523</v>
      </c>
      <c r="E80" s="151">
        <f>E43</f>
        <v>1386.0452364633302</v>
      </c>
      <c r="G80" s="281" t="s">
        <v>142</v>
      </c>
      <c r="H80" s="281"/>
      <c r="I80" s="281"/>
      <c r="J80" s="281"/>
      <c r="K80" s="281"/>
      <c r="L80" s="281"/>
      <c r="M80" s="281"/>
      <c r="N80" s="281"/>
    </row>
    <row r="81" spans="2:14" ht="56.25" customHeight="1" x14ac:dyDescent="0.25">
      <c r="B81" s="128">
        <f ca="1">B80/((0.7*B72)/2.4)</f>
        <v>0.62381828477430612</v>
      </c>
      <c r="C81" s="129">
        <f ca="1">C80/((0.75*C72)/2.6)</f>
        <v>3.6116773060225209</v>
      </c>
      <c r="D81" s="129">
        <f ca="1">D80/((0.8*D72)/2.8)</f>
        <v>6.7156385851641511</v>
      </c>
      <c r="E81" s="130">
        <f ca="1">E80/((0.85*E72)/3)</f>
        <v>10.04466088473831</v>
      </c>
      <c r="G81" s="281" t="s">
        <v>143</v>
      </c>
      <c r="H81" s="281"/>
      <c r="I81" s="281"/>
      <c r="J81" s="281"/>
      <c r="K81" s="281"/>
      <c r="L81" s="281"/>
      <c r="M81" s="281"/>
      <c r="N81" s="281"/>
    </row>
    <row r="82" spans="2:14" ht="56.25" customHeight="1" x14ac:dyDescent="0.25">
      <c r="B82" s="134">
        <f ca="1">B81/B48</f>
        <v>1.7328285688175168E-2</v>
      </c>
      <c r="C82" s="135">
        <f ca="1">C81/C48</f>
        <v>9.4645631709185551E-2</v>
      </c>
      <c r="D82" s="135">
        <f ca="1">D81/D48</f>
        <v>0.16602484536717671</v>
      </c>
      <c r="E82" s="136">
        <f ca="1">E81/E48</f>
        <v>0.23426919362073848</v>
      </c>
      <c r="G82" s="281" t="s">
        <v>144</v>
      </c>
      <c r="H82" s="281"/>
      <c r="I82" s="281"/>
      <c r="J82" s="281"/>
      <c r="K82" s="281"/>
      <c r="L82" s="281"/>
      <c r="M82" s="281"/>
      <c r="N82" s="281"/>
    </row>
    <row r="83" spans="2:14" ht="56.25" customHeight="1" x14ac:dyDescent="0.25">
      <c r="B83" s="149">
        <f>('LEAP Region'!T7+'LEAP Region'!T8)*1000</f>
        <v>7377.6559287183009</v>
      </c>
      <c r="C83" s="150">
        <f>('LEAP Region'!U7+'LEAP Region'!U8)*1000</f>
        <v>6366.004112405758</v>
      </c>
      <c r="D83" s="150">
        <f>('LEAP Region'!V7+'LEAP Region'!V8)*1000</f>
        <v>5156.9568197395483</v>
      </c>
      <c r="E83" s="151">
        <f>('LEAP Region'!W7+'LEAP Region'!W8)*1000</f>
        <v>3281.6997943797123</v>
      </c>
      <c r="G83" s="281" t="s">
        <v>145</v>
      </c>
      <c r="H83" s="281"/>
      <c r="I83" s="281"/>
      <c r="J83" s="281"/>
      <c r="K83" s="281"/>
      <c r="L83" s="281"/>
      <c r="M83" s="281"/>
      <c r="N83" s="281"/>
    </row>
    <row r="84" spans="2:14" ht="56.25" customHeight="1" x14ac:dyDescent="0.25">
      <c r="B84" s="128">
        <f ca="1">B83/B72</f>
        <v>14.430279288601048</v>
      </c>
      <c r="C84" s="129">
        <f ca="1">C83/C72</f>
        <v>12.656321239442343</v>
      </c>
      <c r="D84" s="129">
        <f ca="1">D83/D72</f>
        <v>10.360775229095351</v>
      </c>
      <c r="E84" s="130">
        <f ca="1">E83/E72</f>
        <v>6.7383628828605895</v>
      </c>
      <c r="G84" s="281" t="s">
        <v>147</v>
      </c>
      <c r="H84" s="281"/>
      <c r="I84" s="281"/>
      <c r="J84" s="281"/>
      <c r="K84" s="281"/>
      <c r="L84" s="281"/>
      <c r="M84" s="281"/>
      <c r="N84" s="281"/>
    </row>
    <row r="85" spans="2:14" ht="56.25" customHeight="1" x14ac:dyDescent="0.25">
      <c r="B85" s="134">
        <f ca="1">B84/B48</f>
        <v>0.4008410913500291</v>
      </c>
      <c r="C85" s="135">
        <f ca="1">C84/C48</f>
        <v>0.33166460271075321</v>
      </c>
      <c r="D85" s="135">
        <f ca="1">D84/D48</f>
        <v>0.25614036304673843</v>
      </c>
      <c r="E85" s="136">
        <f ca="1">E84/E48</f>
        <v>0.15715720590330226</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zoomScale="70" zoomScaleNormal="70" workbookViewId="0">
      <selection activeCell="F22" sqref="F22"/>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82.046511627906995</v>
      </c>
      <c r="C18" s="129">
        <f>'LEAP Region'!I26*1000</f>
        <v>2242.604651162791</v>
      </c>
      <c r="D18" s="129">
        <f>'LEAP Region'!J26*1000</f>
        <v>6509.0232558139551</v>
      </c>
      <c r="E18" s="130">
        <f>'LEAP Region'!K26*1000</f>
        <v>12607.813953488374</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5.7711497041904094</v>
      </c>
      <c r="C20" s="129">
        <f>IF($F$22="adj",'1.Current Trans'!$O$13*C18/C19,C18/C19)</f>
        <v>172.08519117949584</v>
      </c>
      <c r="D20" s="129">
        <f>IF($F$22="adj",'1.Current Trans'!$O$13*D18/D19,D18/D19)</f>
        <v>549.41345183892713</v>
      </c>
      <c r="E20" s="130">
        <f>IF($F$22="adj",'1.Current Trans'!$O$13*E18/E19,E18/E19)</f>
        <v>1182.4444505030128</v>
      </c>
      <c r="G20" s="281" t="s">
        <v>106</v>
      </c>
      <c r="H20" s="281"/>
      <c r="I20" s="281"/>
      <c r="J20" s="281"/>
      <c r="K20" s="281"/>
      <c r="L20" s="281"/>
      <c r="M20" s="281"/>
      <c r="N20" s="281"/>
    </row>
    <row r="21" spans="2:22" ht="54.75" customHeight="1" x14ac:dyDescent="0.25">
      <c r="B21" s="131">
        <f>'1.Current Trans'!B9+'1.Current Trans'!B32</f>
        <v>1367</v>
      </c>
      <c r="C21" s="132">
        <f t="shared" ref="C21:E21" si="0">B21*1.125</f>
        <v>1537.875</v>
      </c>
      <c r="D21" s="132">
        <f t="shared" si="0"/>
        <v>1730.109375</v>
      </c>
      <c r="E21" s="133">
        <f t="shared" si="0"/>
        <v>1946.373046875</v>
      </c>
      <c r="G21" s="281" t="s">
        <v>189</v>
      </c>
      <c r="H21" s="281"/>
      <c r="I21" s="281"/>
      <c r="J21" s="281"/>
      <c r="K21" s="281"/>
      <c r="L21" s="281"/>
      <c r="M21" s="281"/>
      <c r="N21" s="281"/>
      <c r="O21" s="186">
        <f>(E21/B21)^(1/(E17-B17))-1</f>
        <v>1.014682216717655E-2</v>
      </c>
    </row>
    <row r="22" spans="2:22" ht="54.75" customHeight="1" x14ac:dyDescent="0.25">
      <c r="B22" s="134">
        <f>B20/B21</f>
        <v>4.2217627682446298E-3</v>
      </c>
      <c r="C22" s="135">
        <f>C20/C21</f>
        <v>0.11189803539266575</v>
      </c>
      <c r="D22" s="135">
        <f>D20/D21</f>
        <v>0.31755995301680112</v>
      </c>
      <c r="E22" s="136">
        <f>E20/E21</f>
        <v>0.60751172669673315</v>
      </c>
      <c r="F22" s="54" t="s">
        <v>545</v>
      </c>
      <c r="G22" s="281" t="s">
        <v>191</v>
      </c>
      <c r="H22" s="281"/>
      <c r="I22" s="281"/>
      <c r="J22" s="281"/>
      <c r="K22" s="281"/>
      <c r="L22" s="281"/>
      <c r="M22" s="281"/>
      <c r="N22" s="281"/>
    </row>
    <row r="23" spans="2:22" ht="54.75" customHeight="1" x14ac:dyDescent="0.25">
      <c r="B23" s="166">
        <f>('LEAP Region'!H24+'LEAP Region'!H25+'LEAP Region'!H27+'LEAP Region'!H28)*1000</f>
        <v>93505.674418604671</v>
      </c>
      <c r="C23" s="167">
        <f>('LEAP Region'!I24+'LEAP Region'!I25+'LEAP Region'!I27+'LEAP Region'!I28)*1000</f>
        <v>67086.69767441861</v>
      </c>
      <c r="D23" s="167">
        <f>('LEAP Region'!J24+'LEAP Region'!J25+'LEAP Region'!J27+'LEAP Region'!J28)*1000</f>
        <v>38315.720930232565</v>
      </c>
      <c r="E23" s="168">
        <f>('LEAP Region'!K24+'LEAP Region'!K25+'LEAP Region'!K27+'LEAP Region'!K28)*1000</f>
        <v>5333.0232558139542</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0.12593916004531605</v>
      </c>
      <c r="D24" s="145">
        <f>res_share_state_target*('LEAP Statewide'!J25+'LEAP Statewide'!J28)*1000000/'2.Trans Targets'!D23</f>
        <v>0.14700393033126827</v>
      </c>
      <c r="E24" s="159">
        <f>res_share_state_target*('LEAP Statewide'!K25+'LEAP Statewide'!K28)*1000000/'2.Trans Targets'!E23</f>
        <v>0.52808334972847915</v>
      </c>
      <c r="G24" s="281" t="s">
        <v>192</v>
      </c>
      <c r="H24" s="281"/>
      <c r="I24" s="281"/>
      <c r="J24" s="281"/>
      <c r="K24" s="281"/>
      <c r="L24" s="281"/>
      <c r="M24" s="281"/>
      <c r="N24" s="281"/>
    </row>
    <row r="25" spans="2:22" ht="54.75" customHeight="1" x14ac:dyDescent="0.25">
      <c r="B25" s="128">
        <f>'1.Current Trans'!B26/'1.Current Trans'!B9</f>
        <v>75.07126772727274</v>
      </c>
      <c r="C25" s="129">
        <f>B25-(($B$25-$E$25)/3)</f>
        <v>64.194336818181824</v>
      </c>
      <c r="D25" s="129">
        <f>C25-(($B$25-$E$25)/3)</f>
        <v>53.317405909090908</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1395.0258004074049</v>
      </c>
      <c r="C26" s="129">
        <f>IF($F$22="adj",'1.Current Trans'!$O$13*C23/C25,C23/C25)</f>
        <v>1170.4630831869219</v>
      </c>
      <c r="D26" s="129">
        <f>IF($F$22="adj",'1.Current Trans'!$O$13*D23/D25,D23/D25)</f>
        <v>804.87050542238535</v>
      </c>
      <c r="E26" s="130">
        <f>IF($F$22="adj",'1.Current Trans'!$O$13*E23/E25,E23/E25)</f>
        <v>140.73796408997848</v>
      </c>
      <c r="G26" s="281" t="s">
        <v>107</v>
      </c>
      <c r="H26" s="281"/>
      <c r="I26" s="281"/>
      <c r="J26" s="281"/>
      <c r="K26" s="281"/>
      <c r="L26" s="281"/>
      <c r="M26" s="281"/>
      <c r="N26" s="281"/>
    </row>
    <row r="27" spans="2:22" ht="54.75" customHeight="1" x14ac:dyDescent="0.25">
      <c r="B27" s="134">
        <f>B26/B21</f>
        <v>1.0205016828144877</v>
      </c>
      <c r="C27" s="135">
        <f>C26/C21</f>
        <v>0.76109117008009231</v>
      </c>
      <c r="D27" s="135">
        <f>D26/D21</f>
        <v>0.46521365472768755</v>
      </c>
      <c r="E27" s="136">
        <f>E26/E21</f>
        <v>7.2307805698368241E-2</v>
      </c>
      <c r="G27" s="281" t="s">
        <v>108</v>
      </c>
      <c r="H27" s="281"/>
      <c r="I27" s="281"/>
      <c r="J27" s="281"/>
      <c r="K27" s="281"/>
      <c r="L27" s="281"/>
      <c r="M27" s="281"/>
      <c r="N27" s="281"/>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C7" sqref="C7:E7"/>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328186.04651162797</v>
      </c>
      <c r="C5" s="172">
        <f>'LEAP Region'!C49*1000000</f>
        <v>1531534.8837209304</v>
      </c>
      <c r="D5" s="172">
        <f>'LEAP Region'!D49*1000000</f>
        <v>2406697.6744186049</v>
      </c>
      <c r="E5" s="173">
        <f>'LEAP Region'!E49*1000000</f>
        <v>3528000.0000000005</v>
      </c>
      <c r="G5" s="281" t="s">
        <v>186</v>
      </c>
      <c r="H5" s="281"/>
      <c r="I5" s="281"/>
      <c r="J5" s="281"/>
      <c r="K5" s="281"/>
      <c r="L5" s="281"/>
      <c r="M5" s="281"/>
      <c r="N5" s="281"/>
    </row>
    <row r="6" spans="2:14" s="126" customFormat="1" ht="45" customHeight="1" x14ac:dyDescent="0.2">
      <c r="B6" s="303">
        <v>400</v>
      </c>
      <c r="C6" s="304"/>
      <c r="D6" s="304"/>
      <c r="E6" s="305"/>
      <c r="G6" s="281" t="s">
        <v>475</v>
      </c>
      <c r="H6" s="281"/>
      <c r="I6" s="281"/>
      <c r="J6" s="281"/>
      <c r="K6" s="281"/>
      <c r="L6" s="281"/>
      <c r="M6" s="281"/>
      <c r="N6" s="281"/>
    </row>
    <row r="7" spans="2:14" s="126" customFormat="1" ht="45" customHeight="1" x14ac:dyDescent="0.2">
      <c r="B7" s="171">
        <f>B5/13/$B$6</f>
        <v>63.11270125223615</v>
      </c>
      <c r="C7" s="172">
        <f>C5/13/$B$6</f>
        <v>294.52593917710203</v>
      </c>
      <c r="D7" s="172">
        <f>D5/13/$B$6</f>
        <v>462.82647584973171</v>
      </c>
      <c r="E7" s="172">
        <f>E5/13/$B$6</f>
        <v>678.46153846153857</v>
      </c>
      <c r="G7" s="281" t="s">
        <v>185</v>
      </c>
      <c r="H7" s="281"/>
      <c r="I7" s="281"/>
      <c r="J7" s="281"/>
      <c r="K7" s="281"/>
      <c r="L7" s="281"/>
      <c r="M7" s="281"/>
      <c r="N7" s="281"/>
    </row>
    <row r="8" spans="2:14" s="126" customFormat="1" ht="45" customHeight="1" x14ac:dyDescent="0.2">
      <c r="B8" s="36">
        <f>'2.Heat Targets'!B31*1.5</f>
        <v>1062</v>
      </c>
      <c r="C8" s="36">
        <f>'2.Heat Targets'!C31*1.5</f>
        <v>1125.72</v>
      </c>
      <c r="D8" s="36">
        <f>'2.Heat Targets'!D31*1.5</f>
        <v>1193.2632000000001</v>
      </c>
      <c r="E8" s="36">
        <f>'2.Heat Targets'!E31*1.5</f>
        <v>1264.8589920000002</v>
      </c>
      <c r="G8" s="281" t="s">
        <v>187</v>
      </c>
      <c r="H8" s="281"/>
      <c r="I8" s="281"/>
      <c r="J8" s="281"/>
      <c r="K8" s="281"/>
      <c r="L8" s="281"/>
      <c r="M8" s="281"/>
      <c r="N8" s="281"/>
    </row>
    <row r="9" spans="2:14" s="126" customFormat="1" ht="45" customHeight="1" x14ac:dyDescent="0.2">
      <c r="B9" s="174">
        <f>B7/B8</f>
        <v>5.9428155604742135E-2</v>
      </c>
      <c r="C9" s="175">
        <f>C7/C8</f>
        <v>0.2616333894548396</v>
      </c>
      <c r="D9" s="175">
        <f>D7/D8</f>
        <v>0.38786621078210715</v>
      </c>
      <c r="E9" s="176">
        <f>E7/E8</f>
        <v>0.53639302305844572</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6"/>
      <c r="C17" s="306"/>
      <c r="D17" s="306"/>
      <c r="E17" s="306"/>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10" zoomScale="70" zoomScaleNormal="70" workbookViewId="0">
      <selection activeCell="R16" sqref="R16"/>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6.8000000000000005E-2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952.00000000000011</v>
      </c>
      <c r="O19" s="224">
        <f>I4*$R$16*1000</f>
        <v>3400.0000000000005</v>
      </c>
      <c r="P19" s="224">
        <f>J4*$R$16*1000</f>
        <v>5576.0000000000009</v>
      </c>
      <c r="Q19" s="224">
        <f>K4*$R$16*1000</f>
        <v>8636.0000000000018</v>
      </c>
    </row>
    <row r="20" spans="1:17" x14ac:dyDescent="0.25">
      <c r="B20" s="21"/>
      <c r="C20" s="21"/>
      <c r="D20" s="21"/>
      <c r="E20" s="21"/>
      <c r="H20" s="23"/>
      <c r="I20" s="23"/>
      <c r="J20" s="23"/>
      <c r="K20" s="23"/>
      <c r="L20" s="22"/>
      <c r="M20" s="222" t="s">
        <v>3</v>
      </c>
      <c r="N20" s="224">
        <f t="shared" ref="N20:N28" si="0">H5*$R$16*1000</f>
        <v>126412</v>
      </c>
      <c r="O20" s="224">
        <f t="shared" ref="O20:O28" si="1">I5*$R$16*1000</f>
        <v>99960.000000000015</v>
      </c>
      <c r="P20" s="224">
        <f t="shared" ref="P20:P28" si="2">J5*$R$16*1000</f>
        <v>76704.000000000015</v>
      </c>
      <c r="Q20" s="224">
        <f t="shared" ref="Q20:Q28" si="3">K5*$R$16*1000</f>
        <v>51000.000000000007</v>
      </c>
    </row>
    <row r="21" spans="1:17" x14ac:dyDescent="0.25">
      <c r="L21" s="22"/>
      <c r="M21" s="222" t="s">
        <v>548</v>
      </c>
      <c r="N21" s="224">
        <f t="shared" si="0"/>
        <v>14076</v>
      </c>
      <c r="O21" s="224">
        <f t="shared" si="1"/>
        <v>12716.000000000002</v>
      </c>
      <c r="P21" s="224">
        <f t="shared" si="2"/>
        <v>6936.0000000000009</v>
      </c>
      <c r="Q21" s="224">
        <f t="shared" si="3"/>
        <v>2108</v>
      </c>
    </row>
    <row r="22" spans="1:17" ht="33.75" customHeight="1" x14ac:dyDescent="0.25">
      <c r="A22" s="231" t="s">
        <v>472</v>
      </c>
      <c r="B22" s="232"/>
      <c r="C22" s="232"/>
      <c r="D22" s="232"/>
      <c r="E22" s="233"/>
      <c r="G22" s="231" t="s">
        <v>473</v>
      </c>
      <c r="H22" s="232"/>
      <c r="I22" s="232"/>
      <c r="J22" s="232"/>
      <c r="K22" s="233"/>
      <c r="L22" s="22"/>
      <c r="M22" s="222" t="s">
        <v>5</v>
      </c>
      <c r="N22" s="224">
        <f t="shared" si="0"/>
        <v>1564</v>
      </c>
      <c r="O22" s="224">
        <f t="shared" si="1"/>
        <v>7480</v>
      </c>
      <c r="P22" s="224">
        <f t="shared" si="2"/>
        <v>15300</v>
      </c>
      <c r="Q22" s="224">
        <f t="shared" si="3"/>
        <v>18360.000000000004</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1088</v>
      </c>
      <c r="O23" s="224">
        <f t="shared" si="1"/>
        <v>3128</v>
      </c>
      <c r="P23" s="224">
        <f t="shared" si="2"/>
        <v>6120</v>
      </c>
      <c r="Q23" s="224">
        <f t="shared" si="3"/>
        <v>8568.0000000000018</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8160</v>
      </c>
      <c r="O24" s="224">
        <f t="shared" si="1"/>
        <v>9452</v>
      </c>
      <c r="P24" s="224">
        <f t="shared" si="2"/>
        <v>10948</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48076</v>
      </c>
      <c r="O25" s="224">
        <f t="shared" si="1"/>
        <v>37604</v>
      </c>
      <c r="P25" s="224">
        <f t="shared" si="2"/>
        <v>24072.000000000004</v>
      </c>
      <c r="Q25" s="224">
        <f t="shared" si="3"/>
        <v>8432</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115192</v>
      </c>
      <c r="O27" s="224">
        <f t="shared" si="1"/>
        <v>77384</v>
      </c>
      <c r="P27" s="224">
        <f t="shared" si="2"/>
        <v>40868</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21488.000000000004</v>
      </c>
      <c r="O28" s="224">
        <f t="shared" si="1"/>
        <v>24004</v>
      </c>
      <c r="P28" s="224">
        <f t="shared" si="2"/>
        <v>21556</v>
      </c>
      <c r="Q28" s="224">
        <f t="shared" si="3"/>
        <v>20128</v>
      </c>
    </row>
    <row r="29" spans="1:17" x14ac:dyDescent="0.25">
      <c r="A29" s="6" t="s">
        <v>24</v>
      </c>
      <c r="B29" s="18">
        <v>0</v>
      </c>
      <c r="C29" s="18">
        <v>0</v>
      </c>
      <c r="D29" s="18">
        <v>0</v>
      </c>
      <c r="E29" s="19">
        <v>0</v>
      </c>
      <c r="G29" s="1" t="s">
        <v>24</v>
      </c>
      <c r="H29" s="4">
        <v>0</v>
      </c>
      <c r="I29" s="4">
        <v>0</v>
      </c>
      <c r="J29" s="4">
        <v>0</v>
      </c>
      <c r="K29" s="5">
        <v>0</v>
      </c>
      <c r="M29" s="222" t="s">
        <v>550</v>
      </c>
      <c r="N29" s="225">
        <f>(B14-H14)*$R$16*1000</f>
        <v>8908.0000000000018</v>
      </c>
      <c r="O29" s="225">
        <f t="shared" ref="O29:Q29" si="4">(C14-I14)*$R$16*1000</f>
        <v>14892.000000000002</v>
      </c>
      <c r="P29" s="225">
        <f t="shared" si="4"/>
        <v>31552.000000000004</v>
      </c>
      <c r="Q29" s="225">
        <f t="shared" si="4"/>
        <v>46308</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2.5000000000000001E-2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200</v>
      </c>
      <c r="O51" s="223">
        <f t="shared" ref="O51:Q57" si="5">U4*$Q$48*1000</f>
        <v>1225</v>
      </c>
      <c r="P51" s="223">
        <f t="shared" si="5"/>
        <v>2300.0000000000005</v>
      </c>
      <c r="Q51" s="223">
        <f t="shared" si="5"/>
        <v>4100.0000000000009</v>
      </c>
    </row>
    <row r="52" spans="1:17" x14ac:dyDescent="0.25">
      <c r="M52" s="223" t="s">
        <v>14</v>
      </c>
      <c r="N52" s="223">
        <f t="shared" ref="N52:N57" si="6">T5*$Q$48*1000</f>
        <v>10200.000000000002</v>
      </c>
      <c r="O52" s="223">
        <f t="shared" si="5"/>
        <v>7600.0000000000009</v>
      </c>
      <c r="P52" s="223">
        <f t="shared" si="5"/>
        <v>4675</v>
      </c>
      <c r="Q52" s="223">
        <f t="shared" si="5"/>
        <v>25</v>
      </c>
    </row>
    <row r="53" spans="1:17" x14ac:dyDescent="0.25">
      <c r="M53" s="223" t="s">
        <v>15</v>
      </c>
      <c r="N53" s="223">
        <f t="shared" si="6"/>
        <v>18600</v>
      </c>
      <c r="O53" s="223">
        <f t="shared" si="5"/>
        <v>18425</v>
      </c>
      <c r="P53" s="223">
        <f t="shared" si="5"/>
        <v>17850</v>
      </c>
      <c r="Q53" s="223">
        <f t="shared" si="5"/>
        <v>17300</v>
      </c>
    </row>
    <row r="54" spans="1:17" x14ac:dyDescent="0.25">
      <c r="M54" s="223" t="s">
        <v>8</v>
      </c>
      <c r="N54" s="223">
        <f t="shared" si="6"/>
        <v>7475.0000000000009</v>
      </c>
      <c r="O54" s="223">
        <f t="shared" si="5"/>
        <v>6450</v>
      </c>
      <c r="P54" s="223">
        <f t="shared" si="5"/>
        <v>5225.0000000000009</v>
      </c>
      <c r="Q54" s="223">
        <f t="shared" si="5"/>
        <v>3325</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1050</v>
      </c>
      <c r="O56" s="223">
        <f t="shared" si="5"/>
        <v>775</v>
      </c>
      <c r="P56" s="223">
        <f t="shared" si="5"/>
        <v>475.00000000000006</v>
      </c>
      <c r="Q56" s="223">
        <f t="shared" si="5"/>
        <v>0</v>
      </c>
    </row>
    <row r="57" spans="1:17" x14ac:dyDescent="0.25">
      <c r="M57" s="223" t="s">
        <v>17</v>
      </c>
      <c r="N57" s="223">
        <f t="shared" si="6"/>
        <v>3525.0000000000005</v>
      </c>
      <c r="O57" s="223">
        <f t="shared" si="5"/>
        <v>4825</v>
      </c>
      <c r="P57" s="223">
        <f t="shared" si="5"/>
        <v>6100.0000000000009</v>
      </c>
      <c r="Q57" s="223">
        <f t="shared" si="5"/>
        <v>8300</v>
      </c>
    </row>
    <row r="58" spans="1:17" x14ac:dyDescent="0.25">
      <c r="M58" s="223" t="s">
        <v>550</v>
      </c>
      <c r="N58" s="223">
        <f>(N11-T11)*$Q$48*1000</f>
        <v>350.00000000000006</v>
      </c>
      <c r="O58" s="223">
        <f>(O11-U11)*$Q$48*1000</f>
        <v>2175.0000000000005</v>
      </c>
      <c r="P58" s="223">
        <f t="shared" ref="P58:Q58" si="7">(P11-V11)*$Q$48*1000</f>
        <v>4125</v>
      </c>
      <c r="Q58" s="223">
        <f t="shared" si="7"/>
        <v>7325</v>
      </c>
    </row>
    <row r="60" spans="1:17" ht="15.75" thickBot="1" x14ac:dyDescent="0.3"/>
    <row r="61" spans="1:17" ht="15.75" thickBot="1" x14ac:dyDescent="0.3">
      <c r="N61" t="s">
        <v>572</v>
      </c>
      <c r="Q61" s="229">
        <v>2.7E-2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78920.999999999985</v>
      </c>
      <c r="O64" s="223">
        <f t="shared" ref="O64:Q68" si="8">I24*$Q$61*1000</f>
        <v>56538</v>
      </c>
      <c r="P64" s="223">
        <f t="shared" si="8"/>
        <v>31482</v>
      </c>
      <c r="Q64" s="223">
        <f t="shared" si="8"/>
        <v>2457</v>
      </c>
    </row>
    <row r="65" spans="13:17" x14ac:dyDescent="0.25">
      <c r="M65" s="223" t="s">
        <v>22</v>
      </c>
      <c r="N65" s="223">
        <f t="shared" ref="N65:N68" si="9">H25*$Q$61*1000</f>
        <v>10530</v>
      </c>
      <c r="O65" s="223">
        <f t="shared" si="8"/>
        <v>7020</v>
      </c>
      <c r="P65" s="223">
        <f t="shared" si="8"/>
        <v>3807</v>
      </c>
      <c r="Q65" s="223">
        <f t="shared" si="8"/>
        <v>432</v>
      </c>
    </row>
    <row r="66" spans="13:17" x14ac:dyDescent="0.25">
      <c r="M66" s="223" t="s">
        <v>23</v>
      </c>
      <c r="N66" s="223">
        <f t="shared" si="9"/>
        <v>81</v>
      </c>
      <c r="O66" s="223">
        <f t="shared" si="8"/>
        <v>2214</v>
      </c>
      <c r="P66" s="223">
        <f t="shared" si="8"/>
        <v>6426</v>
      </c>
      <c r="Q66" s="223">
        <f t="shared" si="8"/>
        <v>12447</v>
      </c>
    </row>
    <row r="67" spans="13:17" x14ac:dyDescent="0.25">
      <c r="M67" s="223" t="s">
        <v>20</v>
      </c>
      <c r="N67" s="223">
        <f t="shared" si="9"/>
        <v>2646</v>
      </c>
      <c r="O67" s="223">
        <f t="shared" si="8"/>
        <v>1647</v>
      </c>
      <c r="P67" s="223">
        <f t="shared" si="8"/>
        <v>891</v>
      </c>
      <c r="Q67" s="223">
        <f t="shared" si="8"/>
        <v>27</v>
      </c>
    </row>
    <row r="68" spans="13:17" x14ac:dyDescent="0.25">
      <c r="M68" s="223" t="s">
        <v>18</v>
      </c>
      <c r="N68" s="223">
        <f t="shared" si="9"/>
        <v>216</v>
      </c>
      <c r="O68" s="223">
        <f t="shared" si="8"/>
        <v>1026</v>
      </c>
      <c r="P68" s="223">
        <f t="shared" si="8"/>
        <v>1647</v>
      </c>
      <c r="Q68" s="223">
        <f t="shared" si="8"/>
        <v>2348.9999999999995</v>
      </c>
    </row>
    <row r="69" spans="13:17" x14ac:dyDescent="0.25">
      <c r="M69" s="230" t="s">
        <v>550</v>
      </c>
      <c r="O69">
        <f t="shared" ref="O69:Q69" si="10">(C30-I30)*$Q$61*1000</f>
        <v>7128</v>
      </c>
      <c r="P69">
        <f t="shared" si="10"/>
        <v>20628</v>
      </c>
      <c r="Q69">
        <f t="shared" si="10"/>
        <v>37314</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2017-05-01T18:53:20Z</dcterms:modified>
</cp:coreProperties>
</file>