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S:\Move_to_Shared\Region\Energy\Act 174 Data\Town Data\Norton\"/>
    </mc:Choice>
  </mc:AlternateContent>
  <bookViews>
    <workbookView xWindow="0" yWindow="0" windowWidth="28800" windowHeight="11610" tabRatio="838" firstSheet="1" activeTab="3"/>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D17" i="201"/>
  <c r="G17" i="201" s="1"/>
  <c r="D16" i="201"/>
  <c r="D15" i="201"/>
  <c r="G15" i="201" s="1"/>
  <c r="D14" i="201"/>
  <c r="G14" i="201" s="1"/>
  <c r="G13" i="201"/>
  <c r="D13" i="201"/>
  <c r="D12" i="201"/>
  <c r="D11" i="201"/>
  <c r="G11" i="201" s="1"/>
  <c r="G10" i="201"/>
  <c r="D10" i="201"/>
  <c r="D9" i="201"/>
  <c r="G9" i="201" s="1"/>
  <c r="D8" i="201"/>
  <c r="E5" i="201"/>
  <c r="E4" i="201"/>
  <c r="D3" i="201"/>
  <c r="C3" i="201"/>
  <c r="B3" i="201"/>
  <c r="E3" i="201" l="1"/>
  <c r="E26" i="201" s="1"/>
  <c r="E34" i="201"/>
  <c r="E17" i="201"/>
  <c r="H17" i="201" s="1"/>
  <c r="E10" i="201"/>
  <c r="G8" i="201"/>
  <c r="E8" i="201"/>
  <c r="E56" i="201"/>
  <c r="E54" i="201"/>
  <c r="H54" i="201" s="1"/>
  <c r="E52" i="201"/>
  <c r="H52" i="201" s="1"/>
  <c r="E50" i="201"/>
  <c r="H50" i="201" s="1"/>
  <c r="E48" i="201"/>
  <c r="E46" i="201"/>
  <c r="E44" i="201"/>
  <c r="H44" i="201" s="1"/>
  <c r="E42" i="201"/>
  <c r="H42" i="201" s="1"/>
  <c r="H10" i="201"/>
  <c r="E13" i="201"/>
  <c r="G20" i="201"/>
  <c r="H20" i="201" s="1"/>
  <c r="E20" i="201"/>
  <c r="E22" i="201"/>
  <c r="E24" i="201"/>
  <c r="H24" i="201" s="1"/>
  <c r="E32" i="201"/>
  <c r="E40" i="201"/>
  <c r="E9" i="201"/>
  <c r="H9" i="201" s="1"/>
  <c r="G16" i="201"/>
  <c r="H16" i="201" s="1"/>
  <c r="E16" i="201"/>
  <c r="E18" i="201"/>
  <c r="H18" i="201" s="1"/>
  <c r="H22" i="201"/>
  <c r="E30" i="201"/>
  <c r="H30" i="201" s="1"/>
  <c r="E38" i="201"/>
  <c r="G12" i="201"/>
  <c r="E12" i="201"/>
  <c r="E14" i="201"/>
  <c r="H14" i="201" s="1"/>
  <c r="E21" i="201"/>
  <c r="H21" i="201" s="1"/>
  <c r="E28" i="201"/>
  <c r="H28" i="201" s="1"/>
  <c r="E36" i="201"/>
  <c r="H13" i="201"/>
  <c r="H29" i="201"/>
  <c r="H45" i="201"/>
  <c r="E11" i="201"/>
  <c r="H11" i="201" s="1"/>
  <c r="E15" i="201"/>
  <c r="H15" i="201" s="1"/>
  <c r="E19" i="201"/>
  <c r="H19" i="201" s="1"/>
  <c r="E23" i="201"/>
  <c r="H23" i="201" s="1"/>
  <c r="E25" i="201"/>
  <c r="H25" i="201" s="1"/>
  <c r="E27" i="201"/>
  <c r="H27" i="201" s="1"/>
  <c r="E29" i="201"/>
  <c r="E31" i="201"/>
  <c r="H31" i="201" s="1"/>
  <c r="E33" i="201"/>
  <c r="H33" i="201" s="1"/>
  <c r="E35" i="201"/>
  <c r="H35" i="201" s="1"/>
  <c r="E37" i="201"/>
  <c r="H37" i="201" s="1"/>
  <c r="E39" i="201"/>
  <c r="H39" i="201" s="1"/>
  <c r="E41" i="201"/>
  <c r="H41" i="201" s="1"/>
  <c r="E43" i="201"/>
  <c r="H43" i="201" s="1"/>
  <c r="E45" i="201"/>
  <c r="E47" i="201"/>
  <c r="H47" i="201" s="1"/>
  <c r="E49" i="201"/>
  <c r="H49" i="201" s="1"/>
  <c r="E51" i="201"/>
  <c r="H51" i="201" s="1"/>
  <c r="E53" i="201"/>
  <c r="H53" i="201" s="1"/>
  <c r="E55" i="201"/>
  <c r="H55" i="201" s="1"/>
  <c r="E57" i="201"/>
  <c r="H57" i="201" s="1"/>
  <c r="H26" i="201"/>
  <c r="H32" i="201"/>
  <c r="H34" i="201"/>
  <c r="H36" i="201"/>
  <c r="H38" i="201"/>
  <c r="H40" i="201"/>
  <c r="H46" i="201"/>
  <c r="H48" i="201"/>
  <c r="H56" i="201"/>
  <c r="H12" i="201" l="1"/>
  <c r="H8" i="201"/>
  <c r="H58" i="201" l="1"/>
  <c r="Q20" i="198"/>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Q69" i="198" s="1"/>
  <c r="D30" i="198"/>
  <c r="P69" i="198" s="1"/>
  <c r="C30" i="198"/>
  <c r="O69" i="198" s="1"/>
  <c r="B30" i="198"/>
  <c r="K14" i="198"/>
  <c r="J14" i="198"/>
  <c r="I14" i="198"/>
  <c r="O29" i="198" s="1"/>
  <c r="H14" i="198"/>
  <c r="E14" i="198"/>
  <c r="Q29" i="198" s="1"/>
  <c r="D14" i="198"/>
  <c r="P29" i="198" s="1"/>
  <c r="C14" i="198"/>
  <c r="B14" i="198"/>
  <c r="N29" i="198" s="1"/>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T96" i="197"/>
  <c r="AA124" i="197"/>
  <c r="W144" i="197"/>
  <c r="AA156" i="197"/>
  <c r="AB172" i="197"/>
  <c r="AE180" i="197"/>
  <c r="AD188" i="197"/>
  <c r="Y200" i="197"/>
  <c r="V212" i="197"/>
  <c r="AD220" i="197"/>
  <c r="Y232" i="197"/>
  <c r="X237" i="197"/>
  <c r="AB244" i="197"/>
  <c r="R12" i="197"/>
  <c r="R60" i="197"/>
  <c r="R76"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AD181" i="197" s="1"/>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U245" i="197" s="1"/>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AA145" i="197"/>
  <c r="X128" i="197"/>
  <c r="AB112" i="197"/>
  <c r="AC248" i="197"/>
  <c r="V244" i="197"/>
  <c r="AD236" i="197"/>
  <c r="AD228" i="197"/>
  <c r="V220" i="197"/>
  <c r="Y208" i="197"/>
  <c r="AD196" i="197"/>
  <c r="V188" i="197"/>
  <c r="T180" i="197"/>
  <c r="AB168" i="197"/>
  <c r="AB140" i="197"/>
  <c r="AE120" i="197"/>
  <c r="AA88"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Q58" i="198" s="1"/>
  <c r="N11" i="198"/>
  <c r="N58" i="198" s="1"/>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O6" i="193"/>
  <c r="P6" i="193"/>
  <c r="Q6" i="193"/>
  <c r="R6" i="193"/>
  <c r="R15" i="193"/>
  <c r="Q15" i="193"/>
  <c r="P15" i="193"/>
  <c r="O15" i="193"/>
  <c r="R13" i="193"/>
  <c r="Q13" i="193"/>
  <c r="P13" i="193"/>
  <c r="O13" i="193"/>
  <c r="P9" i="193"/>
  <c r="Q9" i="193"/>
  <c r="R9" i="193"/>
  <c r="O9" i="193"/>
  <c r="R7" i="193"/>
  <c r="Q7" i="193"/>
  <c r="P7" i="193"/>
  <c r="O7" i="193"/>
  <c r="AK8" i="197" l="1"/>
  <c r="AH220" i="197" s="1"/>
  <c r="P58" i="198"/>
  <c r="O58" i="198"/>
  <c r="AH246" i="197"/>
  <c r="AH108" i="197"/>
  <c r="AH60" i="197"/>
  <c r="AH155" i="197"/>
  <c r="AH18" i="197"/>
  <c r="AH168" i="197"/>
  <c r="AH7" i="197"/>
  <c r="AH190" i="197"/>
  <c r="AH117" i="197"/>
  <c r="AH148" i="197"/>
  <c r="AH179" i="197"/>
  <c r="AH177" i="197"/>
  <c r="AH198" i="197"/>
  <c r="AH230" i="197"/>
  <c r="AH91" i="197"/>
  <c r="AH82" i="197"/>
  <c r="AH9" i="197"/>
  <c r="AH56" i="197"/>
  <c r="AH87" i="197"/>
  <c r="AH23" i="197"/>
  <c r="AH181" i="197"/>
  <c r="AH101" i="197"/>
  <c r="AH37" i="197"/>
  <c r="AH52" i="197"/>
  <c r="AH4" i="197"/>
  <c r="AH147" i="197"/>
  <c r="AH35" i="197"/>
  <c r="AH58" i="197"/>
  <c r="AH129" i="197"/>
  <c r="AH112" i="197"/>
  <c r="AH64" i="197"/>
  <c r="AH191" i="197"/>
  <c r="AH79" i="197"/>
  <c r="AH86" i="197"/>
  <c r="AH141"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40" i="186"/>
  <c r="F37" i="186"/>
  <c r="F35" i="186"/>
  <c r="F33" i="186"/>
  <c r="F29" i="186"/>
  <c r="F28" i="186"/>
  <c r="F27" i="186"/>
  <c r="E41" i="186"/>
  <c r="F38" i="186" s="1"/>
  <c r="F32" i="186" l="1"/>
  <c r="F39" i="186"/>
  <c r="AH45" i="197"/>
  <c r="AH31" i="197"/>
  <c r="AH16" i="197"/>
  <c r="AH234" i="197"/>
  <c r="AH138" i="197"/>
  <c r="AH211" i="197"/>
  <c r="AH116" i="197"/>
  <c r="AH133" i="197"/>
  <c r="AH55" i="197"/>
  <c r="AH104" i="197"/>
  <c r="AH114" i="197"/>
  <c r="AH107" i="197"/>
  <c r="AH226" i="197"/>
  <c r="AH171" i="197"/>
  <c r="AH205" i="197"/>
  <c r="AH175" i="197"/>
  <c r="AH96" i="197"/>
  <c r="AH42" i="197"/>
  <c r="AH115" i="197"/>
  <c r="AH36" i="197"/>
  <c r="AH85" i="197"/>
  <c r="AH213" i="197"/>
  <c r="AH199" i="197"/>
  <c r="AH137" i="197"/>
  <c r="AH59" i="197"/>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74" i="194"/>
  <c r="E22" i="194"/>
  <c r="H4" i="194"/>
  <c r="E256" i="194" s="1"/>
  <c r="H3" i="194"/>
  <c r="E204" i="194" s="1"/>
  <c r="E47" i="194"/>
  <c r="E31" i="194"/>
  <c r="H12" i="194"/>
  <c r="E91" i="194" s="1"/>
  <c r="H2" i="194"/>
  <c r="E32" i="194" s="1"/>
  <c r="E237" i="194"/>
  <c r="E225" i="194"/>
  <c r="E213" i="194"/>
  <c r="E209" i="194"/>
  <c r="E193" i="194"/>
  <c r="E173" i="194"/>
  <c r="E121" i="194"/>
  <c r="E101"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69" i="194" l="1"/>
  <c r="B83" i="188"/>
  <c r="C83" i="188"/>
  <c r="D7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I12" i="192" l="1"/>
  <c r="K29" i="199" s="1"/>
  <c r="J4" i="199" l="1"/>
  <c r="J6" i="199"/>
  <c r="J8" i="199"/>
  <c r="D62" i="188" s="1"/>
  <c r="J10" i="199"/>
  <c r="J12" i="199"/>
  <c r="K4" i="199"/>
  <c r="K6" i="199"/>
  <c r="K14" i="199" s="1"/>
  <c r="E26" i="188" s="1"/>
  <c r="K8" i="199"/>
  <c r="K10" i="199"/>
  <c r="K12" i="199"/>
  <c r="H4" i="199"/>
  <c r="B55" i="188" s="1"/>
  <c r="B56" i="188" s="1"/>
  <c r="H6" i="199"/>
  <c r="H8" i="199"/>
  <c r="H10" i="199"/>
  <c r="H12" i="199"/>
  <c r="I4" i="199"/>
  <c r="I6" i="199"/>
  <c r="I8" i="199"/>
  <c r="I10" i="199"/>
  <c r="I12" i="199"/>
  <c r="E27" i="199"/>
  <c r="B28" i="199"/>
  <c r="E28" i="199"/>
  <c r="D28" i="199"/>
  <c r="D24" i="199"/>
  <c r="C29" i="199"/>
  <c r="C25" i="199"/>
  <c r="H26" i="199"/>
  <c r="B18" i="189" s="1"/>
  <c r="B24" i="199"/>
  <c r="I27" i="199"/>
  <c r="J25" i="199"/>
  <c r="D23" i="189" s="1"/>
  <c r="J29" i="199"/>
  <c r="K27" i="199"/>
  <c r="D6" i="199"/>
  <c r="D12" i="199"/>
  <c r="E6" i="199"/>
  <c r="E10" i="199"/>
  <c r="B4" i="199"/>
  <c r="B8" i="199"/>
  <c r="B25" i="188" s="1"/>
  <c r="B12" i="199"/>
  <c r="C6" i="199"/>
  <c r="C12" i="199"/>
  <c r="B29" i="199"/>
  <c r="B30" i="199" s="1"/>
  <c r="D29" i="199"/>
  <c r="D49" i="199"/>
  <c r="D5" i="190" s="1"/>
  <c r="D7" i="190" s="1"/>
  <c r="H25" i="199"/>
  <c r="I26" i="199"/>
  <c r="C18" i="189" s="1"/>
  <c r="K26" i="199"/>
  <c r="E18" i="189" s="1"/>
  <c r="D7" i="199"/>
  <c r="D13" i="199"/>
  <c r="E7" i="199"/>
  <c r="E25" i="188" s="1"/>
  <c r="E9" i="199"/>
  <c r="E11" i="199"/>
  <c r="E13" i="199"/>
  <c r="B5" i="199"/>
  <c r="B7" i="199"/>
  <c r="B9" i="199"/>
  <c r="B11" i="199"/>
  <c r="B13" i="199"/>
  <c r="C5" i="199"/>
  <c r="C7" i="199"/>
  <c r="C9" i="199"/>
  <c r="C11" i="199"/>
  <c r="C13" i="199"/>
  <c r="E24" i="199"/>
  <c r="B27" i="199"/>
  <c r="E26" i="199"/>
  <c r="E30" i="199" s="1"/>
  <c r="D27" i="199"/>
  <c r="E29" i="199"/>
  <c r="C28" i="199"/>
  <c r="C24" i="199"/>
  <c r="H27" i="199"/>
  <c r="I24" i="199"/>
  <c r="I28" i="199"/>
  <c r="J26" i="199"/>
  <c r="D18" i="189" s="1"/>
  <c r="K24" i="199"/>
  <c r="K28" i="199"/>
  <c r="D4" i="199"/>
  <c r="D8" i="199"/>
  <c r="D14" i="199" s="1"/>
  <c r="D24" i="188" s="1"/>
  <c r="D10" i="199"/>
  <c r="E4" i="199"/>
  <c r="E8" i="199"/>
  <c r="E12" i="199"/>
  <c r="B6" i="199"/>
  <c r="B10" i="199"/>
  <c r="C4" i="199"/>
  <c r="C8" i="199"/>
  <c r="C14" i="199" s="1"/>
  <c r="C24" i="188" s="1"/>
  <c r="C10" i="199"/>
  <c r="B49" i="199"/>
  <c r="B5" i="190" s="1"/>
  <c r="B7" i="190" s="1"/>
  <c r="B25" i="199"/>
  <c r="D25" i="199"/>
  <c r="D30" i="199" s="1"/>
  <c r="C26" i="199"/>
  <c r="H29" i="199"/>
  <c r="J24" i="199"/>
  <c r="J28" i="199"/>
  <c r="D5" i="199"/>
  <c r="D9" i="199"/>
  <c r="D11" i="199"/>
  <c r="E5" i="199"/>
  <c r="E14" i="199" s="1"/>
  <c r="E24" i="188" s="1"/>
  <c r="J5" i="199"/>
  <c r="J7" i="199"/>
  <c r="J9" i="199"/>
  <c r="J11" i="199"/>
  <c r="D65" i="188" s="1"/>
  <c r="J13" i="199"/>
  <c r="K5" i="199"/>
  <c r="K7" i="199"/>
  <c r="K9" i="199"/>
  <c r="E55" i="188" s="1"/>
  <c r="E56" i="188" s="1"/>
  <c r="K11" i="199"/>
  <c r="K13" i="199"/>
  <c r="H5" i="199"/>
  <c r="H7" i="199"/>
  <c r="B27" i="188" s="1"/>
  <c r="H9" i="199"/>
  <c r="H11" i="199"/>
  <c r="H13" i="199"/>
  <c r="I5" i="199"/>
  <c r="I7" i="199"/>
  <c r="I9" i="199"/>
  <c r="I11" i="199"/>
  <c r="I13" i="199"/>
  <c r="E49" i="199"/>
  <c r="E5" i="190" s="1"/>
  <c r="E7" i="190" s="1"/>
  <c r="B26" i="199"/>
  <c r="C49" i="199"/>
  <c r="C5" i="190" s="1"/>
  <c r="C7" i="190" s="1"/>
  <c r="D26" i="199"/>
  <c r="E25" i="199"/>
  <c r="C27" i="199"/>
  <c r="H24" i="199"/>
  <c r="H28" i="199"/>
  <c r="B23" i="189" s="1"/>
  <c r="I25" i="199"/>
  <c r="I29" i="199"/>
  <c r="J27" i="199"/>
  <c r="K25" i="199"/>
  <c r="K30" i="199" s="1"/>
  <c r="B65" i="188"/>
  <c r="C65" i="188"/>
  <c r="C25" i="188"/>
  <c r="C55" i="188"/>
  <c r="C56" i="188" s="1"/>
  <c r="D27" i="188"/>
  <c r="E62" i="188"/>
  <c r="E27" i="188"/>
  <c r="I30" i="199"/>
  <c r="C62" i="188"/>
  <c r="C27" i="188"/>
  <c r="C23" i="189"/>
  <c r="D55" i="188"/>
  <c r="D56" i="188" s="1"/>
  <c r="E65" i="188"/>
  <c r="H14" i="199"/>
  <c r="B26" i="188" s="1"/>
  <c r="B14" i="199"/>
  <c r="B24" i="188" s="1"/>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C59" i="188" l="1"/>
  <c r="J30" i="199"/>
  <c r="J14" i="199"/>
  <c r="D26" i="188" s="1"/>
  <c r="B62" i="188"/>
  <c r="I14" i="199"/>
  <c r="C26" i="188" s="1"/>
  <c r="D25" i="188"/>
  <c r="D59" i="188"/>
  <c r="H30" i="199"/>
  <c r="E23" i="189"/>
  <c r="B59" i="188"/>
  <c r="E59" i="188"/>
  <c r="B24" i="189"/>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K30" i="34"/>
  <c r="J30" i="34"/>
  <c r="I30" i="34"/>
  <c r="H30" i="34"/>
  <c r="E30" i="34"/>
  <c r="D30" i="34"/>
  <c r="C30" i="34"/>
  <c r="B30" i="34"/>
  <c r="K14" i="34"/>
  <c r="J14" i="34"/>
  <c r="I14" i="34"/>
  <c r="H14" i="34"/>
  <c r="E14" i="34"/>
  <c r="D14" i="34"/>
  <c r="C14" i="34"/>
  <c r="B14" i="34"/>
  <c r="B49" i="34" l="1"/>
  <c r="R37" i="193"/>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<sst xmlns="http://schemas.openxmlformats.org/spreadsheetml/2006/main" count="1659" uniqueCount="573">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</sst>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16" xfId="0" applyFont="1" applyBorder="1" applyAlignment="1">
      <alignment horizontal="left" vertical="center" wrapText="1"/>
    </xf>
    <xf numFmtId="0" fontId="0" fillId="0" borderId="0" xfId="0" applyFont="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238.00000000000003</c:v>
                </c:pt>
                <c:pt idx="1">
                  <c:v>850.00000000000011</c:v>
                </c:pt>
                <c:pt idx="2">
                  <c:v>1394.0000000000002</c:v>
                </c:pt>
                <c:pt idx="3">
                  <c:v>2159.0000000000005</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31603</c:v>
                </c:pt>
                <c:pt idx="1">
                  <c:v>24990.000000000004</c:v>
                </c:pt>
                <c:pt idx="2">
                  <c:v>19176.000000000004</c:v>
                </c:pt>
                <c:pt idx="3">
                  <c:v>12750.000000000002</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3519</c:v>
                </c:pt>
                <c:pt idx="1">
                  <c:v>3179.0000000000005</c:v>
                </c:pt>
                <c:pt idx="2">
                  <c:v>1734.0000000000002</c:v>
                </c:pt>
                <c:pt idx="3">
                  <c:v>527</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391</c:v>
                </c:pt>
                <c:pt idx="1">
                  <c:v>1870</c:v>
                </c:pt>
                <c:pt idx="2">
                  <c:v>3825</c:v>
                </c:pt>
                <c:pt idx="3">
                  <c:v>4590.0000000000009</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272</c:v>
                </c:pt>
                <c:pt idx="1">
                  <c:v>782</c:v>
                </c:pt>
                <c:pt idx="2">
                  <c:v>1530</c:v>
                </c:pt>
                <c:pt idx="3">
                  <c:v>2142.0000000000005</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2040</c:v>
                </c:pt>
                <c:pt idx="1">
                  <c:v>2363</c:v>
                </c:pt>
                <c:pt idx="2">
                  <c:v>2737</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12019</c:v>
                </c:pt>
                <c:pt idx="1">
                  <c:v>9401</c:v>
                </c:pt>
                <c:pt idx="2">
                  <c:v>6018.0000000000009</c:v>
                </c:pt>
                <c:pt idx="3">
                  <c:v>2108</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28798</c:v>
                </c:pt>
                <c:pt idx="1">
                  <c:v>19346</c:v>
                </c:pt>
                <c:pt idx="2">
                  <c:v>10217</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5372.0000000000009</c:v>
                </c:pt>
                <c:pt idx="1">
                  <c:v>6001</c:v>
                </c:pt>
                <c:pt idx="2">
                  <c:v>5389</c:v>
                </c:pt>
                <c:pt idx="3">
                  <c:v>5032</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2227.0000000000005</c:v>
                </c:pt>
                <c:pt idx="1">
                  <c:v>3723.0000000000005</c:v>
                </c:pt>
                <c:pt idx="2">
                  <c:v>7888.0000000000009</c:v>
                </c:pt>
                <c:pt idx="3">
                  <c:v>11577</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116802744"/>
        <c:axId val="240486640"/>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116802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40486640"/>
        <c:crosses val="autoZero"/>
        <c:auto val="1"/>
        <c:lblAlgn val="ctr"/>
        <c:lblOffset val="100"/>
        <c:noMultiLvlLbl val="0"/>
      </c:catAx>
      <c:valAx>
        <c:axId val="240486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802744"/>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152</c:v>
                </c:pt>
                <c:pt idx="1">
                  <c:v>930.99999999999989</c:v>
                </c:pt>
                <c:pt idx="2">
                  <c:v>1748</c:v>
                </c:pt>
                <c:pt idx="3">
                  <c:v>3116</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7752</c:v>
                </c:pt>
                <c:pt idx="1">
                  <c:v>5776</c:v>
                </c:pt>
                <c:pt idx="2">
                  <c:v>3553</c:v>
                </c:pt>
                <c:pt idx="3">
                  <c:v>19</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14136</c:v>
                </c:pt>
                <c:pt idx="1">
                  <c:v>14003</c:v>
                </c:pt>
                <c:pt idx="2">
                  <c:v>13565.999999999998</c:v>
                </c:pt>
                <c:pt idx="3">
                  <c:v>13148</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5681</c:v>
                </c:pt>
                <c:pt idx="1">
                  <c:v>4902</c:v>
                </c:pt>
                <c:pt idx="2">
                  <c:v>3971</c:v>
                </c:pt>
                <c:pt idx="3">
                  <c:v>2527</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797.99999999999989</c:v>
                </c:pt>
                <c:pt idx="1">
                  <c:v>589</c:v>
                </c:pt>
                <c:pt idx="2">
                  <c:v>361</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2679</c:v>
                </c:pt>
                <c:pt idx="1">
                  <c:v>3667</c:v>
                </c:pt>
                <c:pt idx="2">
                  <c:v>4636</c:v>
                </c:pt>
                <c:pt idx="3">
                  <c:v>6308</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266</c:v>
                </c:pt>
                <c:pt idx="1">
                  <c:v>1653</c:v>
                </c:pt>
                <c:pt idx="2">
                  <c:v>3135</c:v>
                </c:pt>
                <c:pt idx="3">
                  <c:v>5567</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240484680"/>
        <c:axId val="240487816"/>
      </c:barChart>
      <c:catAx>
        <c:axId val="240484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40487816"/>
        <c:crosses val="autoZero"/>
        <c:auto val="1"/>
        <c:lblAlgn val="ctr"/>
        <c:lblOffset val="100"/>
        <c:noMultiLvlLbl val="0"/>
      </c:catAx>
      <c:valAx>
        <c:axId val="240487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40484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55537</c:v>
                </c:pt>
                <c:pt idx="1">
                  <c:v>39786</c:v>
                </c:pt>
                <c:pt idx="2">
                  <c:v>22154</c:v>
                </c:pt>
                <c:pt idx="3">
                  <c:v>1728.9999999999998</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7410</c:v>
                </c:pt>
                <c:pt idx="1">
                  <c:v>4939.9999999999991</c:v>
                </c:pt>
                <c:pt idx="2">
                  <c:v>2679</c:v>
                </c:pt>
                <c:pt idx="3">
                  <c:v>304</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56.999999999999993</c:v>
                </c:pt>
                <c:pt idx="1">
                  <c:v>1558</c:v>
                </c:pt>
                <c:pt idx="2">
                  <c:v>4522</c:v>
                </c:pt>
                <c:pt idx="3">
                  <c:v>8759</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1861.9999999999998</c:v>
                </c:pt>
                <c:pt idx="1">
                  <c:v>1159</c:v>
                </c:pt>
                <c:pt idx="2">
                  <c:v>627</c:v>
                </c:pt>
                <c:pt idx="3">
                  <c:v>19</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152</c:v>
                </c:pt>
                <c:pt idx="1">
                  <c:v>722</c:v>
                </c:pt>
                <c:pt idx="2">
                  <c:v>1159</c:v>
                </c:pt>
                <c:pt idx="3">
                  <c:v>1653</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5016</c:v>
                </c:pt>
                <c:pt idx="2">
                  <c:v>14516</c:v>
                </c:pt>
                <c:pt idx="3">
                  <c:v>26258</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154745648"/>
        <c:axId val="154746040"/>
      </c:barChart>
      <c:catAx>
        <c:axId val="15474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4746040"/>
        <c:crosses val="autoZero"/>
        <c:auto val="1"/>
        <c:lblAlgn val="ctr"/>
        <c:lblOffset val="100"/>
        <c:noMultiLvlLbl val="0"/>
      </c:catAx>
      <c:valAx>
        <c:axId val="154746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47456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2.210556901963414E-2</v>
      </c>
      <c r="I4" s="4">
        <f>res_share_state_target*'LEAP Statewide'!I4</f>
        <v>0.13366158011871804</v>
      </c>
      <c r="J4" s="4">
        <f>res_share_state_target*'LEAP Statewide'!J4</f>
        <v>0.25215771172396617</v>
      </c>
      <c r="K4" s="5">
        <f>res_share_state_target*'LEAP Statewide'!K4</f>
        <v>0.46421694941231689</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1.5677466402266225E-2</v>
      </c>
      <c r="U4" s="4">
        <f ca="1">com_share_state_target*'LEAP Statewide'!U4</f>
        <v>9.8022217117082019E-2</v>
      </c>
      <c r="V4" s="4">
        <f ca="1">com_share_state_target*'LEAP Statewide'!V4</f>
        <v>0.18390581340328316</v>
      </c>
      <c r="W4" s="5">
        <f ca="1">com_share_state_target*'LEAP Statewide'!W4</f>
        <v>0.32701977247833958</v>
      </c>
      <c r="Y4" s="23"/>
    </row>
    <row r="5" spans="1:25" x14ac:dyDescent="0.25">
      <c r="A5" s="1" t="s">
        <v>3</v>
      </c>
      <c r="B5" s="4">
        <f>res_share_state_target*'LEAP Statewide'!B5</f>
        <v>1.9481175302303155</v>
      </c>
      <c r="C5" s="4">
        <f>res_share_state_target*'LEAP Statewide'!C5</f>
        <v>1.7946637545940181</v>
      </c>
      <c r="D5" s="4">
        <f>res_share_state_target*'LEAP Statewide'!D5</f>
        <v>1.6699986269832907</v>
      </c>
      <c r="E5" s="5">
        <f>res_share_state_target*'LEAP Statewide'!E5</f>
        <v>1.5124321873433404</v>
      </c>
      <c r="G5" s="1" t="s">
        <v>3</v>
      </c>
      <c r="H5" s="4">
        <f>res_share_state_target*'LEAP Statewide'!H5</f>
        <v>1.9540294847355666</v>
      </c>
      <c r="I5" s="4">
        <f>res_share_state_target*'LEAP Statewide'!I5</f>
        <v>1.8342481456291768</v>
      </c>
      <c r="J5" s="4">
        <f>res_share_state_target*'LEAP Statewide'!J5</f>
        <v>1.7124104745209607</v>
      </c>
      <c r="K5" s="5">
        <f>res_share_state_target*'LEAP Statewide'!K5</f>
        <v>1.6306712774483603</v>
      </c>
      <c r="L5" s="21"/>
      <c r="M5" s="1" t="s">
        <v>14</v>
      </c>
      <c r="N5" s="4">
        <f ca="1">com_share_state_target*'LEAP Statewide'!N5</f>
        <v>1.4741384670480424</v>
      </c>
      <c r="O5" s="4">
        <f ca="1">com_share_state_target*'LEAP Statewide'!O5</f>
        <v>1.1910308213372154</v>
      </c>
      <c r="P5" s="4">
        <f ca="1">com_share_state_target*'LEAP Statewide'!P5</f>
        <v>0.8649242993289108</v>
      </c>
      <c r="Q5" s="5">
        <f ca="1">com_share_state_target*'LEAP Statewide'!Q5</f>
        <v>0.35312351508017126</v>
      </c>
      <c r="R5" s="2"/>
      <c r="S5" s="1" t="s">
        <v>14</v>
      </c>
      <c r="T5" s="4">
        <f ca="1">com_share_state_target*'LEAP Statewide'!T5</f>
        <v>1.4579663233078406</v>
      </c>
      <c r="U5" s="4">
        <f ca="1">com_share_state_target*'LEAP Statewide'!U5</f>
        <v>1.0905352175304557</v>
      </c>
      <c r="V5" s="4">
        <f ca="1">com_share_state_target*'LEAP Statewide'!V5</f>
        <v>0.67630002516378052</v>
      </c>
      <c r="W5" s="5">
        <f ca="1">com_share_state_target*'LEAP Statewide'!W5</f>
        <v>1.765617575400856E-2</v>
      </c>
      <c r="Y5" s="92"/>
    </row>
    <row r="6" spans="1:25" x14ac:dyDescent="0.25">
      <c r="A6" s="1" t="s">
        <v>4</v>
      </c>
      <c r="B6" s="4">
        <f>res_share_state_target*'LEAP Statewide'!B6</f>
        <v>0.29559772526254952</v>
      </c>
      <c r="C6" s="4">
        <f>res_share_state_target*'LEAP Statewide'!C6</f>
        <v>0.23956267821277927</v>
      </c>
      <c r="D6" s="4">
        <f>res_share_state_target*'LEAP Statewide'!D6</f>
        <v>0.16322135264497301</v>
      </c>
      <c r="E6" s="5">
        <f>res_share_state_target*'LEAP Statewide'!E6</f>
        <v>6.4517416557304294E-2</v>
      </c>
      <c r="G6" s="1" t="s">
        <v>4</v>
      </c>
      <c r="H6" s="4">
        <f>res_share_state_target*'LEAP Statewide'!H6</f>
        <v>0.29739701576414768</v>
      </c>
      <c r="I6" s="4">
        <f>res_share_state_target*'LEAP Statewide'!I6</f>
        <v>0.24418942521688874</v>
      </c>
      <c r="J6" s="4">
        <f>res_share_state_target*'LEAP Statewide'!J6</f>
        <v>0.14214394962625207</v>
      </c>
      <c r="K6" s="5">
        <f>res_share_state_target*'LEAP Statewide'!K6</f>
        <v>4.6010428540866406E-2</v>
      </c>
      <c r="L6" s="21"/>
      <c r="M6" s="1" t="s">
        <v>15</v>
      </c>
      <c r="N6" s="89">
        <f ca="1">com_share_state_target*'LEAP Statewide'!N6</f>
        <v>2.708548685711917</v>
      </c>
      <c r="O6" s="89">
        <f ca="1">com_share_state_target*'LEAP Statewide'!O6</f>
        <v>2.736707241871327</v>
      </c>
      <c r="P6" s="89">
        <f ca="1">com_share_state_target*'LEAP Statewide'!P6</f>
        <v>2.7112123329161855</v>
      </c>
      <c r="Q6" s="90">
        <f ca="1">com_share_state_target*'LEAP Statewide'!Q6</f>
        <v>2.7237695268791655</v>
      </c>
      <c r="R6" s="4"/>
      <c r="S6" s="1" t="s">
        <v>15</v>
      </c>
      <c r="T6" s="89">
        <f ca="1">com_share_state_target*'LEAP Statewide'!T6</f>
        <v>2.7085106336089986</v>
      </c>
      <c r="U6" s="89">
        <f ca="1">com_share_state_target*'LEAP Statewide'!U6</f>
        <v>2.7365930855625726</v>
      </c>
      <c r="V6" s="89">
        <f ca="1">com_share_state_target*'LEAP Statewide'!V6</f>
        <v>2.7110601245045132</v>
      </c>
      <c r="W6" s="90">
        <f ca="1">com_share_state_target*'LEAP Statewide'!W6</f>
        <v>2.7239217352908378</v>
      </c>
      <c r="Y6" s="92"/>
    </row>
    <row r="7" spans="1:25" x14ac:dyDescent="0.25">
      <c r="A7" s="1" t="s">
        <v>5</v>
      </c>
      <c r="B7" s="4">
        <f>res_share_state_target*'LEAP Statewide'!B7</f>
        <v>2.9816814026483257E-2</v>
      </c>
      <c r="C7" s="4">
        <f>res_share_state_target*'LEAP Statewide'!C7</f>
        <v>0.16784809964908248</v>
      </c>
      <c r="D7" s="4">
        <f>res_share_state_target*'LEAP Statewide'!D7</f>
        <v>0.31641808678104216</v>
      </c>
      <c r="E7" s="5">
        <f>res_share_state_target*'LEAP Statewide'!E7</f>
        <v>0.43645646738766009</v>
      </c>
      <c r="G7" s="1" t="s">
        <v>5</v>
      </c>
      <c r="H7" s="4">
        <f>res_share_state_target*'LEAP Statewide'!H7</f>
        <v>5.21794245463457E-2</v>
      </c>
      <c r="I7" s="4">
        <f>res_share_state_target*'LEAP Statewide'!I7</f>
        <v>0.29225618575958157</v>
      </c>
      <c r="J7" s="4">
        <f>res_share_state_target*'LEAP Statewide'!J7</f>
        <v>0.56446313450135543</v>
      </c>
      <c r="K7" s="5">
        <f>res_share_state_target*'LEAP Statewide'!K7</f>
        <v>0.77755053819061937</v>
      </c>
      <c r="M7" s="1" t="s">
        <v>8</v>
      </c>
      <c r="N7" s="4">
        <f ca="1">com_share_state_target*'LEAP Statewide'!N7</f>
        <v>1.1023694215379916</v>
      </c>
      <c r="O7" s="4">
        <f ca="1">com_share_state_target*'LEAP Statewide'!O7</f>
        <v>1.1320500618141265</v>
      </c>
      <c r="P7" s="4">
        <f ca="1">com_share_state_target*'LEAP Statewide'!P7</f>
        <v>1.1404215244561133</v>
      </c>
      <c r="Q7" s="5">
        <f ca="1">com_share_state_target*'LEAP Statewide'!Q7</f>
        <v>1.1773320642866916</v>
      </c>
      <c r="R7" s="4"/>
      <c r="S7" s="1" t="s">
        <v>8</v>
      </c>
      <c r="T7" s="4">
        <f ca="1">com_share_state_target*'LEAP Statewide'!T7</f>
        <v>1.0712047492480496</v>
      </c>
      <c r="U7" s="4">
        <f ca="1">com_share_state_target*'LEAP Statewide'!U7</f>
        <v>0.93596757547704434</v>
      </c>
      <c r="V7" s="4">
        <f ca="1">com_share_state_target*'LEAP Statewide'!V7</f>
        <v>0.77268600185538328</v>
      </c>
      <c r="W7" s="5">
        <f ca="1">com_share_state_target*'LEAP Statewide'!W7</f>
        <v>0.52321641512417616</v>
      </c>
      <c r="Y7" s="92"/>
    </row>
    <row r="8" spans="1:25" x14ac:dyDescent="0.25">
      <c r="A8" s="1" t="s">
        <v>6</v>
      </c>
      <c r="B8" s="4">
        <f>res_share_state_target*'LEAP Statewide'!B8</f>
        <v>3.3415395029679513E-3</v>
      </c>
      <c r="C8" s="4">
        <f>res_share_state_target*'LEAP Statewide'!C8</f>
        <v>2.4675984021917178E-2</v>
      </c>
      <c r="D8" s="4">
        <f>res_share_state_target*'LEAP Statewide'!D8</f>
        <v>8.4052570574655386E-2</v>
      </c>
      <c r="E8" s="5">
        <f>res_share_state_target*'LEAP Statewide'!E8</f>
        <v>0.17453117865501838</v>
      </c>
      <c r="G8" s="1" t="s">
        <v>6</v>
      </c>
      <c r="H8" s="4">
        <f>res_share_state_target*'LEAP Statewide'!H8</f>
        <v>1.439432401278502E-2</v>
      </c>
      <c r="I8" s="4">
        <f>res_share_state_target*'LEAP Statewide'!I8</f>
        <v>8.9450442079449771E-2</v>
      </c>
      <c r="J8" s="4">
        <f>res_share_state_target*'LEAP Statewide'!J8</f>
        <v>0.19458041567282608</v>
      </c>
      <c r="K8" s="5">
        <f>res_share_state_target*'LEAP Statewide'!K8</f>
        <v>0.32284412428674975</v>
      </c>
      <c r="M8" s="1" t="s">
        <v>9</v>
      </c>
      <c r="N8" s="4">
        <f ca="1">com_share_state_target*'LEAP Statewide'!N8</f>
        <v>1.0620341924447823</v>
      </c>
      <c r="O8" s="4">
        <f ca="1">com_share_state_target*'LEAP Statewide'!O8</f>
        <v>1.2899662889243324</v>
      </c>
      <c r="P8" s="4">
        <f ca="1">com_share_state_target*'LEAP Statewide'!P8</f>
        <v>1.5072437965868084</v>
      </c>
      <c r="Q8" s="5">
        <f ca="1">com_share_state_target*'LEAP Statewide'!Q8</f>
        <v>1.8900479519431148</v>
      </c>
      <c r="R8" s="4"/>
      <c r="S8" s="1" t="s">
        <v>9</v>
      </c>
      <c r="T8" s="4">
        <f ca="1">com_share_state_target*'LEAP Statewide'!T8</f>
        <v>0.98475037141807664</v>
      </c>
      <c r="U8" s="4">
        <f ca="1">com_share_state_target*'LEAP Statewide'!U8</f>
        <v>0.8068187381729387</v>
      </c>
      <c r="V8" s="4">
        <f ca="1">com_share_state_target*'LEAP Statewide'!V8</f>
        <v>0.60057634035671792</v>
      </c>
      <c r="W8" s="5">
        <f ca="1">com_share_state_target*'LEAP Statewide'!W8</f>
        <v>0.27793255971396236</v>
      </c>
      <c r="Y8" s="23"/>
    </row>
    <row r="9" spans="1:25" x14ac:dyDescent="0.25">
      <c r="A9" s="1" t="s">
        <v>7</v>
      </c>
      <c r="B9" s="4">
        <f>res_share_state_target*'LEAP Statewide'!B9</f>
        <v>0.25010137972213975</v>
      </c>
      <c r="C9" s="4">
        <f>res_share_state_target*'LEAP Statewide'!C9</f>
        <v>0.20074941167830537</v>
      </c>
      <c r="D9" s="4">
        <f>res_share_state_target*'LEAP Statewide'!D9</f>
        <v>0.15319673413606916</v>
      </c>
      <c r="E9" s="5">
        <f>res_share_state_target*'LEAP Statewide'!E9</f>
        <v>7.5827242567349656E-2</v>
      </c>
      <c r="G9" s="1" t="s">
        <v>7</v>
      </c>
      <c r="H9" s="4">
        <f>res_share_state_target*'LEAP Statewide'!H9</f>
        <v>0.24547463271803027</v>
      </c>
      <c r="I9" s="4">
        <f>res_share_state_target*'LEAP Statewide'!I9</f>
        <v>0.17684455215707312</v>
      </c>
      <c r="J9" s="4">
        <f>res_share_state_target*'LEAP Statewide'!J9</f>
        <v>0.10975672059748579</v>
      </c>
      <c r="K9" s="5">
        <f>res_share_state_target*'LEAP Statewide'!K9</f>
        <v>0</v>
      </c>
      <c r="L9" s="21"/>
      <c r="M9" s="1" t="s">
        <v>16</v>
      </c>
      <c r="N9" s="4">
        <f ca="1">com_share_state_target*'LEAP Statewide'!N9</f>
        <v>0.14954476446821907</v>
      </c>
      <c r="O9" s="4">
        <f ca="1">com_share_state_target*'LEAP Statewide'!O9</f>
        <v>0.11149266155009717</v>
      </c>
      <c r="P9" s="4">
        <f ca="1">com_share_state_target*'LEAP Statewide'!P9</f>
        <v>6.8493785252619427E-2</v>
      </c>
      <c r="Q9" s="5">
        <f ca="1">com_share_state_target*'LEAP Statewide'!Q9</f>
        <v>0</v>
      </c>
      <c r="R9" s="2"/>
      <c r="S9" s="1" t="s">
        <v>16</v>
      </c>
      <c r="T9" s="4">
        <f ca="1">com_share_state_target*'LEAP Statewide'!T9</f>
        <v>0.14943060815946471</v>
      </c>
      <c r="U9" s="4">
        <f ca="1">com_share_state_target*'LEAP Statewide'!U9</f>
        <v>0.11130240103550657</v>
      </c>
      <c r="V9" s="4">
        <f ca="1">com_share_state_target*'LEAP Statewide'!V9</f>
        <v>6.8341576840946924E-2</v>
      </c>
      <c r="W9" s="5">
        <f ca="1">com_share_state_target*'LEAP Statewide'!W9</f>
        <v>0</v>
      </c>
      <c r="Y9" s="23"/>
    </row>
    <row r="10" spans="1:25" x14ac:dyDescent="0.25">
      <c r="A10" s="1" t="s">
        <v>8</v>
      </c>
      <c r="B10" s="4">
        <f>res_share_state_target*'LEAP Statewide'!B10</f>
        <v>1.4427739407814699</v>
      </c>
      <c r="C10" s="4">
        <f>res_share_state_target*'LEAP Statewide'!C10</f>
        <v>1.1559156265266828</v>
      </c>
      <c r="D10" s="4">
        <f>res_share_state_target*'LEAP Statewide'!D10</f>
        <v>0.85389186375842563</v>
      </c>
      <c r="E10" s="5">
        <f>res_share_state_target*'LEAP Statewide'!E10</f>
        <v>0.30819275877373642</v>
      </c>
      <c r="G10" s="1" t="s">
        <v>8</v>
      </c>
      <c r="H10" s="4">
        <f>res_share_state_target*'LEAP Statewide'!H10</f>
        <v>1.4258092017664019</v>
      </c>
      <c r="I10" s="4">
        <f>res_share_state_target*'LEAP Statewide'!I10</f>
        <v>1.0893418779675521</v>
      </c>
      <c r="J10" s="4">
        <f>res_share_state_target*'LEAP Statewide'!J10</f>
        <v>0.76238508967714946</v>
      </c>
      <c r="K10" s="5">
        <f>res_share_state_target*'LEAP Statewide'!K10</f>
        <v>0.25729854172853223</v>
      </c>
      <c r="L10" s="21"/>
      <c r="M10" s="1" t="s">
        <v>17</v>
      </c>
      <c r="N10" s="4">
        <f ca="1">com_share_state_target*'LEAP Statewide'!N10</f>
        <v>0.47603180750570495</v>
      </c>
      <c r="O10" s="4">
        <f ca="1">com_share_state_target*'LEAP Statewide'!O10</f>
        <v>0.50647348984020246</v>
      </c>
      <c r="P10" s="4">
        <f ca="1">com_share_state_target*'LEAP Statewide'!P10</f>
        <v>0.52892423056189442</v>
      </c>
      <c r="Q10" s="5">
        <f ca="1">com_share_state_target*'LEAP Statewide'!Q10</f>
        <v>0.57534779612200315</v>
      </c>
      <c r="R10" s="4"/>
      <c r="S10" s="1" t="s">
        <v>17</v>
      </c>
      <c r="T10" s="4">
        <f ca="1">com_share_state_target*'LEAP Statewide'!T10</f>
        <v>0.51103974219037707</v>
      </c>
      <c r="U10" s="4">
        <f ca="1">com_share_state_target*'LEAP Statewide'!U10</f>
        <v>0.72603412367776587</v>
      </c>
      <c r="V10" s="4">
        <f ca="1">com_share_state_target*'LEAP Statewide'!V10</f>
        <v>0.94072408834180954</v>
      </c>
      <c r="W10" s="5">
        <f ca="1">com_share_state_target*'LEAP Statewide'!W10</f>
        <v>1.3080029857075222</v>
      </c>
      <c r="Y10" s="23"/>
    </row>
    <row r="11" spans="1:25" x14ac:dyDescent="0.25">
      <c r="A11" s="1" t="s">
        <v>9</v>
      </c>
      <c r="B11" s="4">
        <f>res_share_state_target*'LEAP Statewide'!B11</f>
        <v>1.2456231101063608</v>
      </c>
      <c r="C11" s="4">
        <f>res_share_state_target*'LEAP Statewide'!C11</f>
        <v>1.6167910364360318</v>
      </c>
      <c r="D11" s="4">
        <f>res_share_state_target*'LEAP Statewide'!D11</f>
        <v>2.077923487845609</v>
      </c>
      <c r="E11" s="5">
        <f>res_share_state_target*'LEAP Statewide'!E11</f>
        <v>3.0433713627031187</v>
      </c>
      <c r="G11" s="1" t="s">
        <v>9</v>
      </c>
      <c r="H11" s="4">
        <f>res_share_state_target*'LEAP Statewide'!H11</f>
        <v>1.1343241405075053</v>
      </c>
      <c r="I11" s="4">
        <f>res_share_state_target*'LEAP Statewide'!I11</f>
        <v>0.90221566580134682</v>
      </c>
      <c r="J11" s="4">
        <f>res_share_state_target*'LEAP Statewide'!J11</f>
        <v>0.50303021594679076</v>
      </c>
      <c r="K11" s="5">
        <f>res_share_state_target*'LEAP Statewide'!K11</f>
        <v>6.2461084555477858E-2</v>
      </c>
      <c r="L11" s="21"/>
      <c r="M11" s="7" t="s">
        <v>12</v>
      </c>
      <c r="N11" s="8">
        <f ca="1">SUM(N4:N10)</f>
        <v>6.9726673387166569</v>
      </c>
      <c r="O11" s="8">
        <f ca="1">SUM(O4:O10)</f>
        <v>6.9677205653373013</v>
      </c>
      <c r="P11" s="8">
        <f ca="1">SUM(P4:P10)</f>
        <v>6.8212199691025308</v>
      </c>
      <c r="Q11" s="9">
        <f ca="1">SUM(Q4:Q10)</f>
        <v>6.7196208543111453</v>
      </c>
      <c r="R11" s="4"/>
      <c r="S11" s="7" t="s">
        <v>12</v>
      </c>
      <c r="T11" s="8">
        <f ca="1">SUM(T4:T10)</f>
        <v>6.8985798943350733</v>
      </c>
      <c r="U11" s="8">
        <f ca="1">SUM(U4:U10)</f>
        <v>6.5052733585733655</v>
      </c>
      <c r="V11" s="8">
        <f ca="1">SUM(V4:V10)</f>
        <v>5.9535939704664349</v>
      </c>
      <c r="W11" s="9">
        <f ca="1">SUM(W4:W10)</f>
        <v>5.1777496440688466</v>
      </c>
    </row>
    <row r="12" spans="1:25" x14ac:dyDescent="0.25">
      <c r="A12" s="1" t="s">
        <v>10</v>
      </c>
      <c r="B12" s="4">
        <f>res_share_state_target*'LEAP Statewide'!B12</f>
        <v>2.6678337308695665</v>
      </c>
      <c r="C12" s="4">
        <f>res_share_state_target*'LEAP Statewide'!C12</f>
        <v>2.0959163928615903</v>
      </c>
      <c r="D12" s="4">
        <f>res_share_state_target*'LEAP Statewide'!D12</f>
        <v>1.3815980637271337</v>
      </c>
      <c r="E12" s="5">
        <f>res_share_state_target*'LEAP Statewide'!E12</f>
        <v>0.36988271882852936</v>
      </c>
      <c r="G12" s="1" t="s">
        <v>10</v>
      </c>
      <c r="H12" s="4">
        <f>res_share_state_target*'LEAP Statewide'!H12</f>
        <v>2.6156543063232207</v>
      </c>
      <c r="I12" s="4">
        <f>res_share_state_target*'LEAP Statewide'!I12</f>
        <v>1.8743466196647922</v>
      </c>
      <c r="J12" s="4">
        <f>res_share_state_target*'LEAP Statewide'!J12</f>
        <v>1.1551445020259978</v>
      </c>
      <c r="K12" s="5">
        <f>res_share_state_target*'LEAP Statewide'!K12</f>
        <v>0</v>
      </c>
      <c r="L12" s="21"/>
    </row>
    <row r="13" spans="1:25" x14ac:dyDescent="0.25">
      <c r="A13" s="1" t="s">
        <v>11</v>
      </c>
      <c r="B13" s="4">
        <f>res_share_state_target*'LEAP Statewide'!B13</f>
        <v>0.16553472614702774</v>
      </c>
      <c r="C13" s="4">
        <f>res_share_state_target*'LEAP Statewide'!C13</f>
        <v>0.21925639969474325</v>
      </c>
      <c r="D13" s="4">
        <f>res_share_state_target*'LEAP Statewide'!D13</f>
        <v>0.27066469974040402</v>
      </c>
      <c r="E13" s="5">
        <f>res_share_state_target*'LEAP Statewide'!E13</f>
        <v>0.35009052331094997</v>
      </c>
      <c r="G13" s="1" t="s">
        <v>11</v>
      </c>
      <c r="H13" s="4">
        <f>res_share_state_target*'LEAP Statewide'!H13</f>
        <v>0.19046775166917321</v>
      </c>
      <c r="I13" s="4">
        <f>res_share_state_target*'LEAP Statewide'!I13</f>
        <v>0.34854827430958013</v>
      </c>
      <c r="J13" s="4">
        <f>res_share_state_target*'LEAP Statewide'!J13</f>
        <v>0.46961482091711132</v>
      </c>
      <c r="K13" s="5">
        <f>res_share_state_target*'LEAP Statewide'!K13</f>
        <v>0.58451237151916313</v>
      </c>
      <c r="L13" s="21"/>
      <c r="N13" s="21"/>
      <c r="O13" s="21"/>
      <c r="P13" s="21"/>
      <c r="Q13" s="21"/>
      <c r="T13" s="21"/>
      <c r="U13" s="21"/>
      <c r="V13" s="21"/>
      <c r="W13" s="21"/>
    </row>
    <row r="14" spans="1:25" x14ac:dyDescent="0.25">
      <c r="A14" s="7" t="s">
        <v>12</v>
      </c>
      <c r="B14" s="8">
        <f>SUM(B4:B13)</f>
        <v>8.0487404966488807</v>
      </c>
      <c r="C14" s="8">
        <f>SUM(C4:C13)</f>
        <v>7.5153793836751506</v>
      </c>
      <c r="D14" s="8">
        <f>SUM(D4:D13)</f>
        <v>6.9709654861916039</v>
      </c>
      <c r="E14" s="9">
        <f>SUM(E4:E13)</f>
        <v>6.3353018561270069</v>
      </c>
      <c r="G14" s="7" t="s">
        <v>12</v>
      </c>
      <c r="H14" s="8">
        <f>SUM(H4:H13)</f>
        <v>7.9518358510628104</v>
      </c>
      <c r="I14" s="8">
        <f>SUM(I4:I13)</f>
        <v>6.9851027687041594</v>
      </c>
      <c r="J14" s="8">
        <f>SUM(J4:J13)</f>
        <v>5.8656870352098949</v>
      </c>
      <c r="K14" s="9">
        <f>SUM(K4:K13)</f>
        <v>4.1455653156820862</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7.1971620063925101</v>
      </c>
      <c r="C24" s="4">
        <f>res_share_state_target*'LEAP Statewide'!C24*1000</f>
        <v>5.911954505250991</v>
      </c>
      <c r="D24" s="4">
        <f>res_share_state_target*'LEAP Statewide'!D24*1000</f>
        <v>5.1408300045660793</v>
      </c>
      <c r="E24" s="5">
        <f>res_share_state_target*'LEAP Statewide'!E24*1000</f>
        <v>4.3697055038811667</v>
      </c>
      <c r="G24" s="1" t="s">
        <v>21</v>
      </c>
      <c r="H24" s="4">
        <f>res_share_state_target*'LEAP Statewide'!H24*1000</f>
        <v>7.1971620063925101</v>
      </c>
      <c r="I24" s="4">
        <f>res_share_state_target*'LEAP Statewide'!I24*1000</f>
        <v>5.911954505250991</v>
      </c>
      <c r="J24" s="4">
        <f>res_share_state_target*'LEAP Statewide'!J24*1000</f>
        <v>2.8274565025113434</v>
      </c>
      <c r="K24" s="5">
        <f>res_share_state_target*'LEAP Statewide'!K24*1000</f>
        <v>0.25704150022830391</v>
      </c>
    </row>
    <row r="25" spans="1:16" x14ac:dyDescent="0.25">
      <c r="A25" s="1" t="s">
        <v>22</v>
      </c>
      <c r="B25" s="4">
        <f>res_share_state_target*'LEAP Statewide'!B25*1000</f>
        <v>1.0281660009132156</v>
      </c>
      <c r="C25" s="4">
        <f>res_share_state_target*'LEAP Statewide'!C25*1000</f>
        <v>0.77112450068491178</v>
      </c>
      <c r="D25" s="4">
        <f>res_share_state_target*'LEAP Statewide'!D25*1000</f>
        <v>0.77112450068491178</v>
      </c>
      <c r="E25" s="5">
        <f>res_share_state_target*'LEAP Statewide'!E25*1000</f>
        <v>0.51408300045660782</v>
      </c>
      <c r="G25" s="1" t="s">
        <v>22</v>
      </c>
      <c r="H25" s="4">
        <f>res_share_state_target*'LEAP Statewide'!H25*1000</f>
        <v>1.0281660009132156</v>
      </c>
      <c r="I25" s="4">
        <f>res_share_state_target*'LEAP Statewide'!I25*1000</f>
        <v>0.77112450068491178</v>
      </c>
      <c r="J25" s="4">
        <f>res_share_state_target*'LEAP Statewide'!J25*1000</f>
        <v>0.25704150022830391</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0.51408300045660782</v>
      </c>
      <c r="K26" s="5">
        <f>res_share_state_target*'LEAP Statewide'!K26*1000</f>
        <v>1.2852075011415198</v>
      </c>
    </row>
    <row r="27" spans="1:16" x14ac:dyDescent="0.25">
      <c r="A27" s="1" t="s">
        <v>20</v>
      </c>
      <c r="B27" s="4">
        <f>res_share_state_target*'LEAP Statewide'!B27*1000</f>
        <v>0.25704150022830391</v>
      </c>
      <c r="C27" s="4">
        <f>res_share_state_target*'LEAP Statewide'!C27*1000</f>
        <v>0.25704150022830391</v>
      </c>
      <c r="D27" s="4">
        <f>res_share_state_target*'LEAP Statewide'!D27*1000</f>
        <v>0.25704150022830391</v>
      </c>
      <c r="E27" s="5">
        <f>res_share_state_target*'LEAP Statewide'!E27*1000</f>
        <v>0.25704150022830391</v>
      </c>
      <c r="G27" s="1" t="s">
        <v>20</v>
      </c>
      <c r="H27" s="4">
        <f>res_share_state_target*'LEAP Statewide'!H27*1000</f>
        <v>0.25704150022830391</v>
      </c>
      <c r="I27" s="4">
        <f>res_share_state_target*'LEAP Statewide'!I27*1000</f>
        <v>0.25704150022830391</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0.25704150022830391</v>
      </c>
      <c r="K28" s="5">
        <f>res_share_state_target*'LEAP Statewide'!K28*1000</f>
        <v>0.25704150022830391</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8.4823695075340293</v>
      </c>
      <c r="C30" s="8">
        <f>SUM(C24:C29)</f>
        <v>6.9401205061642068</v>
      </c>
      <c r="D30" s="8">
        <f>SUM(D24:D29)</f>
        <v>6.1689960054792952</v>
      </c>
      <c r="E30" s="9">
        <f>SUM(E24:E29)</f>
        <v>5.1408300045660784</v>
      </c>
      <c r="G30" s="7" t="s">
        <v>12</v>
      </c>
      <c r="H30" s="8">
        <f>SUM(H24:H29)</f>
        <v>8.4823695075340293</v>
      </c>
      <c r="I30" s="8">
        <f>SUM(I24:I29)</f>
        <v>6.9401205061642068</v>
      </c>
      <c r="J30" s="8">
        <f>SUM(J24:J29)</f>
        <v>3.8556225034245588</v>
      </c>
      <c r="K30" s="9">
        <f>SUM(K24:K29)</f>
        <v>1.7992905015981278</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2.6475274523515304E-2</v>
      </c>
      <c r="C49" s="20">
        <f>res_share_state_target*'LEAP Statewide'!C49</f>
        <v>0.12672145961255385</v>
      </c>
      <c r="D49" s="20">
        <f>res_share_state_target*'LEAP Statewide'!D49</f>
        <v>0.21977048269519986</v>
      </c>
      <c r="E49" s="20">
        <f>res_share_state_target*'LEAP Statewide'!E49</f>
        <v>0.36242851532190856</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3.4945736434108532E-2</v>
      </c>
      <c r="I4" s="4">
        <f>res_share_region_target*'LEAP Scenario'!I4</f>
        <v>0.1248062015503876</v>
      </c>
      <c r="J4" s="4">
        <f>res_share_region_target*'LEAP Scenario'!J4</f>
        <v>0.20468217054263568</v>
      </c>
      <c r="K4" s="5">
        <f>res_share_region_target*'LEAP Scenario'!K4</f>
        <v>0.31700775193798453</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3.838245373543523E-2</v>
      </c>
      <c r="U4" s="4">
        <f>com_share_region_target*'LEAP Scenario'!U4</f>
        <v>0.23509252912954079</v>
      </c>
      <c r="V4" s="4">
        <f>com_share_region_target*'LEAP Scenario'!V4</f>
        <v>0.44139821795750517</v>
      </c>
      <c r="W4" s="5">
        <f>com_share_region_target*'LEAP Scenario'!W4</f>
        <v>0.78684030157642226</v>
      </c>
      <c r="Y4" s="23"/>
    </row>
    <row r="5" spans="1:25" x14ac:dyDescent="0.25">
      <c r="A5" s="1" t="s">
        <v>3</v>
      </c>
      <c r="B5" s="4">
        <f>res_share_region_target*'LEAP Scenario'!B5</f>
        <v>4.7176744186046511</v>
      </c>
      <c r="C5" s="4">
        <f>res_share_region_target*'LEAP Scenario'!C5</f>
        <v>3.9139224806201551</v>
      </c>
      <c r="D5" s="4">
        <f>res_share_region_target*'LEAP Scenario'!D5</f>
        <v>3.2474573643410856</v>
      </c>
      <c r="E5" s="5">
        <f>res_share_region_target*'LEAP Scenario'!E5</f>
        <v>2.4736589147286825</v>
      </c>
      <c r="G5" s="1" t="s">
        <v>3</v>
      </c>
      <c r="H5" s="4">
        <f>res_share_region_target*'LEAP Scenario'!H5</f>
        <v>4.6402945736434109</v>
      </c>
      <c r="I5" s="4">
        <f>res_share_region_target*'LEAP Scenario'!I5</f>
        <v>3.6693023255813957</v>
      </c>
      <c r="J5" s="4">
        <f>res_share_region_target*'LEAP Scenario'!J5</f>
        <v>2.8156279069767445</v>
      </c>
      <c r="K5" s="5">
        <f>res_share_region_target*'LEAP Scenario'!K5</f>
        <v>1.8720930232558142</v>
      </c>
      <c r="L5" s="21"/>
      <c r="M5" s="1" t="s">
        <v>14</v>
      </c>
      <c r="N5" s="4">
        <f>com_share_region_target*'LEAP Scenario'!N5</f>
        <v>1.9814941740918437</v>
      </c>
      <c r="O5" s="4">
        <f>com_share_region_target*'LEAP Scenario'!O5</f>
        <v>1.6264564770390679</v>
      </c>
      <c r="P5" s="4">
        <f>com_share_region_target*'LEAP Scenario'!P5</f>
        <v>1.2138450993831391</v>
      </c>
      <c r="Q5" s="5">
        <f>com_share_region_target*'LEAP Scenario'!Q5</f>
        <v>0.5661411925976696</v>
      </c>
      <c r="R5" s="2"/>
      <c r="S5" s="1" t="s">
        <v>14</v>
      </c>
      <c r="T5" s="4">
        <f>com_share_region_target*'LEAP Scenario'!T5</f>
        <v>1.9575051405071968</v>
      </c>
      <c r="U5" s="4">
        <f>com_share_region_target*'LEAP Scenario'!U5</f>
        <v>1.4585332419465387</v>
      </c>
      <c r="V5" s="4">
        <f>com_share_region_target*'LEAP Scenario'!V5</f>
        <v>0.89718985606579849</v>
      </c>
      <c r="W5" s="5">
        <f>com_share_region_target*'LEAP Scenario'!W5</f>
        <v>4.7978067169294038E-3</v>
      </c>
      <c r="Y5" s="92"/>
    </row>
    <row r="6" spans="1:25" x14ac:dyDescent="0.25">
      <c r="A6" s="1" t="s">
        <v>4</v>
      </c>
      <c r="B6" s="4">
        <f>res_share_region_target*'LEAP Scenario'!B6</f>
        <v>0.47675968992248063</v>
      </c>
      <c r="C6" s="4">
        <f>res_share_region_target*'LEAP Scenario'!C6</f>
        <v>0.3544496124031008</v>
      </c>
      <c r="D6" s="4">
        <f>res_share_region_target*'LEAP Scenario'!D6</f>
        <v>0.20468217054263568</v>
      </c>
      <c r="E6" s="5">
        <f>res_share_region_target*'LEAP Scenario'!E6</f>
        <v>5.9906976744186047E-2</v>
      </c>
      <c r="G6" s="1" t="s">
        <v>4</v>
      </c>
      <c r="H6" s="4">
        <f>res_share_region_target*'LEAP Scenario'!H6</f>
        <v>0.5166976744186047</v>
      </c>
      <c r="I6" s="4">
        <f>res_share_region_target*'LEAP Scenario'!I6</f>
        <v>0.46677519379844962</v>
      </c>
      <c r="J6" s="4">
        <f>res_share_region_target*'LEAP Scenario'!J6</f>
        <v>0.25460465116279074</v>
      </c>
      <c r="K6" s="5">
        <f>res_share_region_target*'LEAP Scenario'!K6</f>
        <v>7.7379844961240313E-2</v>
      </c>
      <c r="L6" s="21"/>
      <c r="M6" s="1" t="s">
        <v>15</v>
      </c>
      <c r="N6" s="89">
        <f>com_share_region_target*'LEAP Scenario'!N6</f>
        <v>3.6175462645647705</v>
      </c>
      <c r="O6" s="89">
        <f>com_share_region_target*'LEAP Scenario'!O6</f>
        <v>3.8478409869773817</v>
      </c>
      <c r="P6" s="89">
        <f>com_share_region_target*'LEAP Scenario'!P6</f>
        <v>4.0157642220699108</v>
      </c>
      <c r="Q6" s="90">
        <f>com_share_region_target*'LEAP Scenario'!Q6</f>
        <v>4.3708019191226866</v>
      </c>
      <c r="R6" s="4"/>
      <c r="S6" s="1" t="s">
        <v>15</v>
      </c>
      <c r="T6" s="89">
        <f>com_share_region_target*'LEAP Scenario'!T6</f>
        <v>3.5695681973954763</v>
      </c>
      <c r="U6" s="89">
        <f>com_share_region_target*'LEAP Scenario'!U6</f>
        <v>3.5359835503769705</v>
      </c>
      <c r="V6" s="89">
        <f>com_share_region_target*'LEAP Scenario'!V6</f>
        <v>3.4256339958875945</v>
      </c>
      <c r="W6" s="90">
        <f>com_share_region_target*'LEAP Scenario'!W6</f>
        <v>3.3200822481151473</v>
      </c>
      <c r="Y6" s="92"/>
    </row>
    <row r="7" spans="1:25" x14ac:dyDescent="0.25">
      <c r="A7" s="1" t="s">
        <v>5</v>
      </c>
      <c r="B7" s="4">
        <f>res_share_region_target*'LEAP Scenario'!B7</f>
        <v>6.4899224806201555E-2</v>
      </c>
      <c r="C7" s="4">
        <f>res_share_region_target*'LEAP Scenario'!C7</f>
        <v>0.30702325581395351</v>
      </c>
      <c r="D7" s="4">
        <f>res_share_region_target*'LEAP Scenario'!D7</f>
        <v>0.47675968992248063</v>
      </c>
      <c r="E7" s="5">
        <f>res_share_region_target*'LEAP Scenario'!E7</f>
        <v>0.59906976744186047</v>
      </c>
      <c r="G7" s="1" t="s">
        <v>5</v>
      </c>
      <c r="H7" s="4">
        <f>res_share_region_target*'LEAP Scenario'!H7</f>
        <v>5.7410852713178299E-2</v>
      </c>
      <c r="I7" s="4">
        <f>res_share_region_target*'LEAP Scenario'!I7</f>
        <v>0.27457364341085272</v>
      </c>
      <c r="J7" s="4">
        <f>res_share_region_target*'LEAP Scenario'!J7</f>
        <v>0.56162790697674425</v>
      </c>
      <c r="K7" s="5">
        <f>res_share_region_target*'LEAP Scenario'!K7</f>
        <v>0.67395348837209301</v>
      </c>
      <c r="M7" s="1" t="s">
        <v>8</v>
      </c>
      <c r="N7" s="4">
        <f>com_share_region_target*'LEAP Scenario'!N7</f>
        <v>1.4921178889650446</v>
      </c>
      <c r="O7" s="4">
        <f>com_share_region_target*'LEAP Scenario'!O7</f>
        <v>1.6120630568882797</v>
      </c>
      <c r="P7" s="4">
        <f>com_share_region_target*'LEAP Scenario'!P7</f>
        <v>1.7032213845099384</v>
      </c>
      <c r="Q7" s="5">
        <f>com_share_region_target*'LEAP Scenario'!Q7</f>
        <v>1.8903358464701852</v>
      </c>
      <c r="R7" s="4"/>
      <c r="S7" s="1" t="s">
        <v>8</v>
      </c>
      <c r="T7" s="4">
        <f>com_share_region_target*'LEAP Scenario'!T7</f>
        <v>1.4345442083618918</v>
      </c>
      <c r="U7" s="4">
        <f>com_share_region_target*'LEAP Scenario'!U7</f>
        <v>1.2378341329677862</v>
      </c>
      <c r="V7" s="4">
        <f>com_share_region_target*'LEAP Scenario'!V7</f>
        <v>1.0027416038382453</v>
      </c>
      <c r="W7" s="5">
        <f>com_share_region_target*'LEAP Scenario'!W7</f>
        <v>0.63810829335161068</v>
      </c>
      <c r="Y7" s="92"/>
    </row>
    <row r="8" spans="1:25" x14ac:dyDescent="0.25">
      <c r="A8" s="1" t="s">
        <v>6</v>
      </c>
      <c r="B8" s="4">
        <f>res_share_region_target*'LEAP Scenario'!B8</f>
        <v>7.4883720930232558E-3</v>
      </c>
      <c r="C8" s="4">
        <f>res_share_region_target*'LEAP Scenario'!C8</f>
        <v>3.2449612403100778E-2</v>
      </c>
      <c r="D8" s="4">
        <f>res_share_region_target*'LEAP Scenario'!D8</f>
        <v>0.11731782945736435</v>
      </c>
      <c r="E8" s="5">
        <f>res_share_region_target*'LEAP Scenario'!E8</f>
        <v>0.282062015503876</v>
      </c>
      <c r="G8" s="1" t="s">
        <v>6</v>
      </c>
      <c r="H8" s="4">
        <f>res_share_region_target*'LEAP Scenario'!H8</f>
        <v>3.9937984496124034E-2</v>
      </c>
      <c r="I8" s="4">
        <f>res_share_region_target*'LEAP Scenario'!I8</f>
        <v>0.1148217054263566</v>
      </c>
      <c r="J8" s="4">
        <f>res_share_region_target*'LEAP Scenario'!J8</f>
        <v>0.22465116279069769</v>
      </c>
      <c r="K8" s="5">
        <f>res_share_region_target*'LEAP Scenario'!K8</f>
        <v>0.31451162790697679</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0.32200000000000001</v>
      </c>
      <c r="C9" s="4">
        <f>res_share_region_target*'LEAP Scenario'!C9</f>
        <v>0.40936434108527137</v>
      </c>
      <c r="D9" s="4">
        <f>res_share_region_target*'LEAP Scenario'!D9</f>
        <v>0.50172093023255815</v>
      </c>
      <c r="E9" s="5">
        <f>res_share_region_target*'LEAP Scenario'!E9</f>
        <v>0.12730232558139537</v>
      </c>
      <c r="G9" s="1" t="s">
        <v>7</v>
      </c>
      <c r="H9" s="4">
        <f>res_share_region_target*'LEAP Scenario'!H9</f>
        <v>0.29953488372093023</v>
      </c>
      <c r="I9" s="4">
        <f>res_share_region_target*'LEAP Scenario'!I9</f>
        <v>0.34696124031007752</v>
      </c>
      <c r="J9" s="4">
        <f>res_share_region_target*'LEAP Scenario'!J9</f>
        <v>0.40187596899224809</v>
      </c>
      <c r="K9" s="5">
        <f>res_share_region_target*'LEAP Scenario'!K9</f>
        <v>0</v>
      </c>
      <c r="L9" s="21"/>
      <c r="M9" s="1" t="s">
        <v>16</v>
      </c>
      <c r="N9" s="4">
        <f>com_share_region_target*'LEAP Scenario'!N9</f>
        <v>0.20150788211103496</v>
      </c>
      <c r="O9" s="4">
        <f>com_share_region_target*'LEAP Scenario'!O9</f>
        <v>0.14873200822481153</v>
      </c>
      <c r="P9" s="4">
        <f>com_share_region_target*'LEAP Scenario'!P9</f>
        <v>9.1158327621658666E-2</v>
      </c>
      <c r="Q9" s="5">
        <f>com_share_region_target*'LEAP Scenario'!Q9</f>
        <v>0</v>
      </c>
      <c r="R9" s="2"/>
      <c r="S9" s="1" t="s">
        <v>16</v>
      </c>
      <c r="T9" s="4">
        <f>com_share_region_target*'LEAP Scenario'!T9</f>
        <v>0.20150788211103496</v>
      </c>
      <c r="U9" s="4">
        <f>com_share_region_target*'LEAP Scenario'!U9</f>
        <v>0.14873200822481153</v>
      </c>
      <c r="V9" s="4">
        <f>com_share_region_target*'LEAP Scenario'!V9</f>
        <v>9.1158327621658666E-2</v>
      </c>
      <c r="W9" s="5">
        <f>com_share_region_target*'LEAP Scenario'!W9</f>
        <v>0</v>
      </c>
      <c r="Y9" s="23"/>
    </row>
    <row r="10" spans="1:25" x14ac:dyDescent="0.25">
      <c r="A10" s="1" t="s">
        <v>8</v>
      </c>
      <c r="B10" s="4">
        <f>res_share_region_target*'LEAP Scenario'!B10</f>
        <v>1.8046976744186047</v>
      </c>
      <c r="C10" s="4">
        <f>res_share_region_target*'LEAP Scenario'!C10</f>
        <v>1.4727131782945737</v>
      </c>
      <c r="D10" s="4">
        <f>res_share_region_target*'LEAP Scenario'!D10</f>
        <v>1.178170542635659</v>
      </c>
      <c r="E10" s="5">
        <f>res_share_region_target*'LEAP Scenario'!E10</f>
        <v>0.78877519379844963</v>
      </c>
      <c r="G10" s="1" t="s">
        <v>8</v>
      </c>
      <c r="H10" s="4">
        <f>res_share_region_target*'LEAP Scenario'!H10</f>
        <v>1.7647596899224807</v>
      </c>
      <c r="I10" s="4">
        <f>res_share_region_target*'LEAP Scenario'!I10</f>
        <v>1.3803565891472869</v>
      </c>
      <c r="J10" s="4">
        <f>res_share_region_target*'LEAP Scenario'!J10</f>
        <v>0.8836279069767442</v>
      </c>
      <c r="K10" s="5">
        <f>res_share_region_target*'LEAP Scenario'!K10</f>
        <v>0.30951937984496125</v>
      </c>
      <c r="L10" s="21"/>
      <c r="M10" s="1" t="s">
        <v>17</v>
      </c>
      <c r="N10" s="4">
        <f>com_share_region_target*'LEAP Scenario'!N10</f>
        <v>0.64770390678546952</v>
      </c>
      <c r="O10" s="4">
        <f>com_share_region_target*'LEAP Scenario'!O10</f>
        <v>0.72446881425634002</v>
      </c>
      <c r="P10" s="4">
        <f>com_share_region_target*'LEAP Scenario'!P10</f>
        <v>0.79643591501028099</v>
      </c>
      <c r="Q10" s="5">
        <f>com_share_region_target*'LEAP Scenario'!Q10</f>
        <v>0.92117888965044559</v>
      </c>
      <c r="R10" s="4"/>
      <c r="S10" s="1" t="s">
        <v>17</v>
      </c>
      <c r="T10" s="4">
        <f>com_share_region_target*'LEAP Scenario'!T10</f>
        <v>0.67649074708704593</v>
      </c>
      <c r="U10" s="4">
        <f>com_share_region_target*'LEAP Scenario'!U10</f>
        <v>0.9259766963673749</v>
      </c>
      <c r="V10" s="4">
        <f>com_share_region_target*'LEAP Scenario'!V10</f>
        <v>1.1706648389307746</v>
      </c>
      <c r="W10" s="5">
        <f>com_share_region_target*'LEAP Scenario'!W10</f>
        <v>1.592871830020562</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7.9403701165181628</v>
      </c>
      <c r="O11" s="8">
        <f>SUM(O4:O10)</f>
        <v>7.9595613433858823</v>
      </c>
      <c r="P11" s="8">
        <f>SUM(P4:P10)</f>
        <v>7.820424948594928</v>
      </c>
      <c r="Q11" s="9">
        <f>SUM(Q4:Q10)</f>
        <v>7.7484578478409869</v>
      </c>
      <c r="R11" s="4"/>
      <c r="S11" s="7" t="s">
        <v>12</v>
      </c>
      <c r="T11" s="8">
        <f>SUM(T4:T10)</f>
        <v>7.877998629198081</v>
      </c>
      <c r="U11" s="8">
        <f>SUM(U4:U10)</f>
        <v>7.5421521590130229</v>
      </c>
      <c r="V11" s="8">
        <f>SUM(V4:V10)</f>
        <v>7.0287868403015779</v>
      </c>
      <c r="W11" s="9">
        <f>SUM(W4:W10)</f>
        <v>6.3427004797806719</v>
      </c>
    </row>
    <row r="12" spans="1:25" x14ac:dyDescent="0.25">
      <c r="A12" s="1" t="s">
        <v>10</v>
      </c>
      <c r="B12" s="4">
        <f>res_share_region_target*'LEAP Scenario'!B12</f>
        <v>4.395674418604651</v>
      </c>
      <c r="C12" s="4">
        <f>res_share_region_target*'LEAP Scenario'!C12</f>
        <v>3.3497984496124031</v>
      </c>
      <c r="D12" s="4">
        <f>res_share_region_target*'LEAP Scenario'!D12</f>
        <v>2.3463565891472871</v>
      </c>
      <c r="E12" s="5">
        <f>res_share_region_target*'LEAP Scenario'!E12</f>
        <v>1.0259069767441862</v>
      </c>
      <c r="G12" s="1" t="s">
        <v>10</v>
      </c>
      <c r="H12" s="4">
        <f>res_share_region_target*'LEAP Scenario'!H12</f>
        <v>4.2284341085271322</v>
      </c>
      <c r="I12" s="4">
        <f>res_share_region_target*'LEAP Scenario'!I12</f>
        <v>2.8405891472868219</v>
      </c>
      <c r="J12" s="4">
        <f>res_share_region_target*'LEAP Scenario'!J12</f>
        <v>1.5001705426356591</v>
      </c>
      <c r="K12" s="5">
        <f>res_share_region_target*'LEAP Scenario'!K12</f>
        <v>0</v>
      </c>
      <c r="L12" s="21"/>
    </row>
    <row r="13" spans="1:25" x14ac:dyDescent="0.25">
      <c r="A13" s="1" t="s">
        <v>11</v>
      </c>
      <c r="B13" s="4">
        <f>res_share_region_target*'LEAP Scenario'!B13</f>
        <v>0.90858914728682172</v>
      </c>
      <c r="C13" s="4">
        <f>res_share_region_target*'LEAP Scenario'!C13</f>
        <v>0.80624806201550392</v>
      </c>
      <c r="D13" s="4">
        <f>res_share_region_target*'LEAP Scenario'!D13</f>
        <v>0.72387596899224815</v>
      </c>
      <c r="E13" s="5">
        <f>res_share_region_target*'LEAP Scenario'!E13</f>
        <v>0.64649612403100776</v>
      </c>
      <c r="G13" s="1" t="s">
        <v>11</v>
      </c>
      <c r="H13" s="4">
        <f>res_share_region_target*'LEAP Scenario'!H13</f>
        <v>0.78877519379844963</v>
      </c>
      <c r="I13" s="4">
        <f>res_share_region_target*'LEAP Scenario'!I13</f>
        <v>0.88113178294573646</v>
      </c>
      <c r="J13" s="4">
        <f>res_share_region_target*'LEAP Scenario'!J13</f>
        <v>0.79127131782945737</v>
      </c>
      <c r="K13" s="5">
        <f>res_share_region_target*'LEAP Scenario'!K13</f>
        <v>0.7388527131782946</v>
      </c>
      <c r="L13" s="21"/>
      <c r="N13" s="21"/>
      <c r="O13" s="21"/>
      <c r="P13" s="21"/>
      <c r="Q13" s="21"/>
      <c r="T13" s="21"/>
      <c r="U13" s="21"/>
      <c r="V13" s="21"/>
      <c r="W13" s="21"/>
    </row>
    <row r="14" spans="1:25" x14ac:dyDescent="0.25">
      <c r="A14" s="7" t="s">
        <v>12</v>
      </c>
      <c r="B14" s="8">
        <f>SUM(B4:B13)</f>
        <v>12.697782945736435</v>
      </c>
      <c r="C14" s="8">
        <f>SUM(C4:C13)</f>
        <v>10.645968992248061</v>
      </c>
      <c r="D14" s="8">
        <f>SUM(D4:D13)</f>
        <v>8.7963410852713171</v>
      </c>
      <c r="E14" s="9">
        <f>SUM(E4:E13)</f>
        <v>6.0031782945736438</v>
      </c>
      <c r="G14" s="7" t="s">
        <v>12</v>
      </c>
      <c r="H14" s="8">
        <f>SUM(H4:H13)</f>
        <v>12.370790697674421</v>
      </c>
      <c r="I14" s="8">
        <f>SUM(I4:I13)</f>
        <v>10.099317829457366</v>
      </c>
      <c r="J14" s="8">
        <f>SUM(J4:J13)</f>
        <v>7.6381395348837211</v>
      </c>
      <c r="K14" s="9">
        <f>SUM(K4:K13)</f>
        <v>4.303317829457364</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7.2687131782945738</v>
      </c>
      <c r="C24" s="4">
        <f>res_share_region_target*'LEAP Scenario'!C24</f>
        <v>5.9158139534883727</v>
      </c>
      <c r="D24" s="4">
        <f>res_share_region_target*'LEAP Scenario'!D24</f>
        <v>5.0421705426356596</v>
      </c>
      <c r="E24" s="5">
        <f>res_share_region_target*'LEAP Scenario'!E24</f>
        <v>4.2334263565891472</v>
      </c>
      <c r="G24" s="1" t="s">
        <v>21</v>
      </c>
      <c r="H24" s="4">
        <f>res_share_region_target*'LEAP Scenario'!H24</f>
        <v>7.2961705426356591</v>
      </c>
      <c r="I24" s="4">
        <f>res_share_region_target*'LEAP Scenario'!I24</f>
        <v>5.2268837209302328</v>
      </c>
      <c r="J24" s="4">
        <f>res_share_region_target*'LEAP Scenario'!J24</f>
        <v>2.9104806201550391</v>
      </c>
      <c r="K24" s="5">
        <f>res_share_region_target*'LEAP Scenario'!K24</f>
        <v>0.22714728682170543</v>
      </c>
    </row>
    <row r="25" spans="1:16" x14ac:dyDescent="0.25">
      <c r="A25" s="1" t="s">
        <v>22</v>
      </c>
      <c r="B25" s="4">
        <f>res_share_region_target*'LEAP Scenario'!B25</f>
        <v>0.98596899224806211</v>
      </c>
      <c r="C25" s="4">
        <f>res_share_region_target*'LEAP Scenario'!C25</f>
        <v>0.79626356589147296</v>
      </c>
      <c r="D25" s="4">
        <f>res_share_region_target*'LEAP Scenario'!D25</f>
        <v>0.67395348837209301</v>
      </c>
      <c r="E25" s="5">
        <f>res_share_region_target*'LEAP Scenario'!E25</f>
        <v>0.55913178294573651</v>
      </c>
      <c r="G25" s="1" t="s">
        <v>22</v>
      </c>
      <c r="H25" s="4">
        <f>res_share_region_target*'LEAP Scenario'!H25</f>
        <v>0.9734883720930233</v>
      </c>
      <c r="I25" s="4">
        <f>res_share_region_target*'LEAP Scenario'!I25</f>
        <v>0.6489922480620155</v>
      </c>
      <c r="J25" s="4">
        <f>res_share_region_target*'LEAP Scenario'!J25</f>
        <v>0.35195348837209306</v>
      </c>
      <c r="K25" s="5">
        <f>res_share_region_target*'LEAP Scenario'!K25</f>
        <v>3.9937984496124034E-2</v>
      </c>
    </row>
    <row r="26" spans="1:16" x14ac:dyDescent="0.25">
      <c r="A26" s="1" t="s">
        <v>23</v>
      </c>
      <c r="B26" s="4">
        <f>res_share_region_target*'LEAP Scenario'!B26</f>
        <v>7.4883720930232558E-3</v>
      </c>
      <c r="C26" s="4">
        <f>res_share_region_target*'LEAP Scenario'!C26</f>
        <v>2.2465116279069768E-2</v>
      </c>
      <c r="D26" s="4">
        <f>res_share_region_target*'LEAP Scenario'!D26</f>
        <v>3.4945736434108532E-2</v>
      </c>
      <c r="E26" s="5">
        <f>res_share_region_target*'LEAP Scenario'!E26</f>
        <v>5.2418604651162791E-2</v>
      </c>
      <c r="G26" s="1" t="s">
        <v>23</v>
      </c>
      <c r="H26" s="4">
        <f>res_share_region_target*'LEAP Scenario'!H26</f>
        <v>7.4883720930232558E-3</v>
      </c>
      <c r="I26" s="4">
        <f>res_share_region_target*'LEAP Scenario'!I26</f>
        <v>0.20468217054263568</v>
      </c>
      <c r="J26" s="4">
        <f>res_share_region_target*'LEAP Scenario'!J26</f>
        <v>0.59407751937984499</v>
      </c>
      <c r="K26" s="5">
        <f>res_share_region_target*'LEAP Scenario'!K26</f>
        <v>1.1507131782945736</v>
      </c>
    </row>
    <row r="27" spans="1:16" x14ac:dyDescent="0.25">
      <c r="A27" s="1" t="s">
        <v>20</v>
      </c>
      <c r="B27" s="4">
        <f>res_share_region_target*'LEAP Scenario'!B27</f>
        <v>0.2645891472868217</v>
      </c>
      <c r="C27" s="4">
        <f>res_share_region_target*'LEAP Scenario'!C27</f>
        <v>0.2496124031007752</v>
      </c>
      <c r="D27" s="4">
        <f>res_share_region_target*'LEAP Scenario'!D27</f>
        <v>0.2446201550387597</v>
      </c>
      <c r="E27" s="5">
        <f>res_share_region_target*'LEAP Scenario'!E27</f>
        <v>0.24212403100775196</v>
      </c>
      <c r="G27" s="1" t="s">
        <v>20</v>
      </c>
      <c r="H27" s="4">
        <f>res_share_region_target*'LEAP Scenario'!H27</f>
        <v>0.2446201550387597</v>
      </c>
      <c r="I27" s="4">
        <f>res_share_region_target*'LEAP Scenario'!I27</f>
        <v>0.15226356589147289</v>
      </c>
      <c r="J27" s="4">
        <f>res_share_region_target*'LEAP Scenario'!J27</f>
        <v>8.2372093023255821E-2</v>
      </c>
      <c r="K27" s="5">
        <f>res_share_region_target*'LEAP Scenario'!K27</f>
        <v>2.4961240310077521E-3</v>
      </c>
    </row>
    <row r="28" spans="1:16" x14ac:dyDescent="0.25">
      <c r="A28" s="1" t="s">
        <v>18</v>
      </c>
      <c r="B28" s="4">
        <f>res_share_region_target*'LEAP Scenario'!B28</f>
        <v>2.4961240310077521E-3</v>
      </c>
      <c r="C28" s="4">
        <f>res_share_region_target*'LEAP Scenario'!C28</f>
        <v>2.4961240310077521E-3</v>
      </c>
      <c r="D28" s="4">
        <f>res_share_region_target*'LEAP Scenario'!D28</f>
        <v>2.4961240310077521E-3</v>
      </c>
      <c r="E28" s="5">
        <f>res_share_region_target*'LEAP Scenario'!E28</f>
        <v>0</v>
      </c>
      <c r="G28" s="1" t="s">
        <v>18</v>
      </c>
      <c r="H28" s="4">
        <f>res_share_region_target*'LEAP Scenario'!H28</f>
        <v>1.9968992248062017E-2</v>
      </c>
      <c r="I28" s="4">
        <f>res_share_region_target*'LEAP Scenario'!I28</f>
        <v>9.4852713178294579E-2</v>
      </c>
      <c r="J28" s="4">
        <f>res_share_region_target*'LEAP Scenario'!J28</f>
        <v>0.15226356589147289</v>
      </c>
      <c r="K28" s="5">
        <f>res_share_region_target*'LEAP Scenario'!K28</f>
        <v>0.21716279069767444</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8.5292558139534904</v>
      </c>
      <c r="C30" s="8">
        <f>SUM(C24:C29)</f>
        <v>6.9866511627906975</v>
      </c>
      <c r="D30" s="8">
        <f>SUM(D24:D29)</f>
        <v>5.9981860465116288</v>
      </c>
      <c r="E30" s="9">
        <f>SUM(E24:E29)</f>
        <v>5.0871007751937993</v>
      </c>
      <c r="G30" s="7" t="s">
        <v>12</v>
      </c>
      <c r="H30" s="8">
        <f>SUM(H24:H29)</f>
        <v>8.5417364341085271</v>
      </c>
      <c r="I30" s="8">
        <f>SUM(I24:I29)</f>
        <v>6.3276744186046514</v>
      </c>
      <c r="J30" s="8">
        <f>SUM(J24:J29)</f>
        <v>4.0911472868217054</v>
      </c>
      <c r="K30" s="9">
        <f>SUM(K24:K29)</f>
        <v>1.6374573643410855</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2.9953488372093023E-2</v>
      </c>
      <c r="C49" s="20">
        <f>res_share_region_target*'LEAP Scenario'!C49</f>
        <v>0.13978294573643413</v>
      </c>
      <c r="D49" s="20">
        <f>res_share_region_target*'LEAP Scenario'!D49</f>
        <v>0.21965891472868218</v>
      </c>
      <c r="E49" s="20">
        <f>res_share_region_target*'LEAP Scenario'!E49</f>
        <v>0.32200000000000001</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12697.782945736435</v>
      </c>
      <c r="J21" s="63">
        <f>'2.Heat Targets'!C24</f>
        <v>10645.968992248061</v>
      </c>
      <c r="K21" s="63">
        <f>'2.Heat Targets'!D24</f>
        <v>8796.3410852713168</v>
      </c>
      <c r="L21" s="64">
        <f>'2.Heat Targets'!E24</f>
        <v>6003.1782945736441</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101.34263565891472</v>
      </c>
      <c r="J22" s="63">
        <f>'2.Heat Targets'!C25</f>
        <v>543.15658914728692</v>
      </c>
      <c r="K22" s="63">
        <f>'2.Heat Targets'!D25</f>
        <v>1069.3395348837209</v>
      </c>
      <c r="L22" s="64">
        <f>'2.Heat Targets'!E25</f>
        <v>1145.4713178294573</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12370.790697674422</v>
      </c>
      <c r="J23" s="63">
        <f>'2.Heat Targets'!C26</f>
        <v>10099.317829457366</v>
      </c>
      <c r="K23" s="63">
        <f>'2.Heat Targets'!D26</f>
        <v>7638.1395348837214</v>
      </c>
      <c r="L23" s="64">
        <f>'2.Heat Targets'!E26</f>
        <v>4303.3178294573636</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136.28837209302324</v>
      </c>
      <c r="J24" s="63">
        <f>'2.Heat Targets'!C27</f>
        <v>623.0325581395349</v>
      </c>
      <c r="K24" s="63">
        <f>'2.Heat Targets'!D27</f>
        <v>1415.3023255813955</v>
      </c>
      <c r="L24" s="64">
        <f>'2.Heat Targets'!E27</f>
        <v>1976.9302325581398</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292.04651162790549</v>
      </c>
      <c r="J25" s="63">
        <f>'2.Heat Targets'!C28</f>
        <v>466.77519379844728</v>
      </c>
      <c r="K25" s="63">
        <f>'2.Heat Targets'!D28</f>
        <v>812.23875968992024</v>
      </c>
      <c r="L25" s="64">
        <f>'2.Heat Targets'!E28</f>
        <v>868.40155038759849</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28.204999999999998</v>
      </c>
      <c r="J26" s="308">
        <f>'2.Heat Targets'!C29</f>
        <v>0</v>
      </c>
      <c r="K26" s="308">
        <f>'2.Heat Targets'!D29</f>
        <v>0</v>
      </c>
      <c r="L26" s="308">
        <f>'2.Heat Targets'!E29</f>
        <v>0</v>
      </c>
      <c r="O26" s="308">
        <f>'2.Heat Targets'!B29</f>
        <v>28.204999999999998</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10.354423386913863</v>
      </c>
      <c r="J27" s="63">
        <f>'2.Heat Targets'!C30</f>
        <v>16.549377550024722</v>
      </c>
      <c r="K27" s="63">
        <f>'2.Heat Targets'!D30</f>
        <v>28.797686923946827</v>
      </c>
      <c r="L27" s="64">
        <f>'2.Heat Targets'!E30</f>
        <v>30.788922190661179</v>
      </c>
      <c r="O27" s="62">
        <f>O25/$O$26</f>
        <v>360.78265623799416</v>
      </c>
      <c r="P27" s="63">
        <f>P25/$O$26</f>
        <v>1562.5341553564633</v>
      </c>
      <c r="Q27" s="63">
        <f>Q25/$O$26</f>
        <v>2355.9017610747387</v>
      </c>
      <c r="R27" s="64">
        <f>R25/$O$26</f>
        <v>5017.9420345156786</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76</v>
      </c>
      <c r="J28" s="203">
        <f>'2.Heat Targets'!C31</f>
        <v>80.56</v>
      </c>
      <c r="K28" s="203">
        <f>'2.Heat Targets'!D31</f>
        <v>85.393600000000006</v>
      </c>
      <c r="L28" s="203">
        <f>'2.Heat Targets'!E31</f>
        <v>90.517216000000005</v>
      </c>
      <c r="O28" s="203">
        <f>'2.Heat Targets'!B31</f>
        <v>76</v>
      </c>
      <c r="P28" s="203">
        <f>'2.Heat Targets'!C31</f>
        <v>80.56</v>
      </c>
      <c r="Q28" s="203">
        <f>'2.Heat Targets'!D31</f>
        <v>85.393600000000006</v>
      </c>
      <c r="R28" s="203">
        <f>'2.Heat Targets'!E31</f>
        <v>90.517216000000005</v>
      </c>
      <c r="T28" t="str">
        <f>'2.Heat Targets'!G31</f>
        <v>Enter a projection of the number of future residences in the area by each year.</v>
      </c>
    </row>
    <row r="29" spans="8:20" x14ac:dyDescent="0.25">
      <c r="I29" s="86">
        <f>'2.Heat Targets'!B32</f>
        <v>0.13624241298570872</v>
      </c>
      <c r="J29" s="87">
        <f>'2.Heat Targets'!C32</f>
        <v>0.20542921487121055</v>
      </c>
      <c r="K29" s="87">
        <f>'2.Heat Targets'!D32</f>
        <v>0.33723472161785922</v>
      </c>
      <c r="L29" s="88">
        <f>'2.Heat Targets'!E32</f>
        <v>0.34014437861921404</v>
      </c>
      <c r="O29" s="104">
        <f>O27/O28</f>
        <v>4.7471402136578176</v>
      </c>
      <c r="P29" s="105">
        <f>P27/P28</f>
        <v>19.395905602736633</v>
      </c>
      <c r="Q29" s="105">
        <f>Q27/Q28</f>
        <v>27.588739215523628</v>
      </c>
      <c r="R29" s="106">
        <f>R27/R28</f>
        <v>55.436327543653995</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112.82</v>
      </c>
      <c r="J34" s="94">
        <f>'2.Heat Targets'!C54</f>
        <v>107.0258689945575</v>
      </c>
      <c r="K34" s="94">
        <f>'2.Heat Targets'!D54</f>
        <v>103.30829467676827</v>
      </c>
      <c r="L34" s="95">
        <f>'2.Heat Targets'!E54</f>
        <v>103.22622780104507</v>
      </c>
      <c r="O34" s="107">
        <f>'1.Current Heat'!B10</f>
        <v>112.82</v>
      </c>
      <c r="P34" s="108">
        <f>P29*($O$34-$O$26)+(1-P29)*$O$34</f>
        <v>-434.24151752518696</v>
      </c>
      <c r="Q34" s="108">
        <f>Q29*($O$34-$O$26)+(1-Q29)*$O$34</f>
        <v>-665.32038957384384</v>
      </c>
      <c r="R34" s="110">
        <f>R29*($O$34-$O$26)+(1-R29)*$O$34</f>
        <v>-1450.7616183687605</v>
      </c>
      <c r="T34" t="str">
        <f>'2.Heat Targets'!G54</f>
        <v>This is a projection of the average area residential heating load, in millions of Btu, computed based on values inputted above and in the "1.Current Heat" tab</v>
      </c>
    </row>
    <row r="35" spans="9:20" x14ac:dyDescent="0.25">
      <c r="I35" s="81">
        <f>'2.Heat Targets'!B55</f>
        <v>4562.9147286821708</v>
      </c>
      <c r="J35" s="82">
        <f>'2.Heat Targets'!C55</f>
        <v>3312.3565891472867</v>
      </c>
      <c r="K35" s="82">
        <f>'2.Heat Targets'!D55</f>
        <v>2106.7286821705425</v>
      </c>
      <c r="L35" s="83">
        <f>'2.Heat Targets'!E55</f>
        <v>317.00775193798455</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7.6586433260393879E-3</v>
      </c>
      <c r="J36" s="97">
        <f>'2.Heat Targets'!C56</f>
        <v>3.7678975131876416E-2</v>
      </c>
      <c r="K36" s="97">
        <f>'2.Heat Targets'!D56</f>
        <v>9.7156398104265421E-2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40.444200750595385</v>
      </c>
      <c r="J37" s="63">
        <f>'2.Heat Targets'!C57</f>
        <v>30.949121182241718</v>
      </c>
      <c r="K37" s="63">
        <f>'2.Heat Targets'!D57</f>
        <v>20.392638255835024</v>
      </c>
      <c r="L37" s="64">
        <f>'2.Heat Targets'!E57</f>
        <v>3.071000061621695</v>
      </c>
      <c r="O37" s="62">
        <f>O35/O34</f>
        <v>2472.4633204404781</v>
      </c>
      <c r="P37" s="62">
        <f>P35/P34</f>
        <v>-490.10673957905186</v>
      </c>
      <c r="Q37" s="62">
        <f>Q35/Q34</f>
        <v>-224.76509053145156</v>
      </c>
      <c r="R37" s="112">
        <f>R35/R34</f>
        <v>-33.952053218248075</v>
      </c>
      <c r="T37" t="str">
        <f>'2.Heat Targets'!G57</f>
        <v>This formula computes an estimate the number of residences using biofuel-blended heat energy in the 90x50 scenario based on values inputted in the "1.Current Heat" tab.</v>
      </c>
    </row>
    <row r="38" spans="9:20" x14ac:dyDescent="0.25">
      <c r="I38" s="65">
        <f>'2.Heat Targets'!B58</f>
        <v>0.53216053619204451</v>
      </c>
      <c r="J38" s="66">
        <f>'2.Heat Targets'!C58</f>
        <v>0.38417479123934606</v>
      </c>
      <c r="K38" s="66">
        <f>'2.Heat Targets'!D58</f>
        <v>0.23880757171304434</v>
      </c>
      <c r="L38" s="67">
        <f>'2.Heat Targets'!E58</f>
        <v>3.392724828856529E-2</v>
      </c>
      <c r="O38" s="109">
        <f>O37/O28</f>
        <v>32.532412111058925</v>
      </c>
      <c r="P38" s="109">
        <f>P37/P28</f>
        <v>-6.0837480086774063</v>
      </c>
      <c r="Q38" s="109">
        <f>Q37/Q28</f>
        <v>-2.6321069791114504</v>
      </c>
      <c r="R38" s="113">
        <f>R37/R28</f>
        <v>-0.37508945500763163</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5429.0697674418607</v>
      </c>
      <c r="J39" s="82">
        <f>'2.Heat Targets'!C59</f>
        <v>4550.4341085271326</v>
      </c>
      <c r="K39" s="82">
        <f>'2.Heat Targets'!D59</f>
        <v>3606.8992248062018</v>
      </c>
      <c r="L39" s="83">
        <f>'2.Heat Targets'!E59</f>
        <v>2610.9457364341088</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48.121518945593522</v>
      </c>
      <c r="J40" s="63">
        <f>'2.Heat Targets'!C60</f>
        <v>42.517142362642552</v>
      </c>
      <c r="K40" s="63">
        <f>'2.Heat Targets'!D60</f>
        <v>34.913936350333664</v>
      </c>
      <c r="L40" s="64">
        <f>'2.Heat Targets'!E60</f>
        <v>25.293433578396005</v>
      </c>
      <c r="O40" s="62">
        <f>O39/O34</f>
        <v>1660.1786811521263</v>
      </c>
      <c r="P40" s="62">
        <f>P39/P34</f>
        <v>-445.47388006754574</v>
      </c>
      <c r="Q40" s="62">
        <f>Q39/Q34</f>
        <v>-293.33086550585483</v>
      </c>
      <c r="R40" s="112">
        <f>R39/R34</f>
        <v>-137.55552951718821</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0.6331778808630727</v>
      </c>
      <c r="J41" s="66">
        <f>'2.Heat Targets'!C61</f>
        <v>0.52776989030092536</v>
      </c>
      <c r="K41" s="66">
        <f>'2.Heat Targets'!D61</f>
        <v>0.40885893498264109</v>
      </c>
      <c r="L41" s="67">
        <f>'2.Heat Targets'!E61</f>
        <v>0.27943229692786842</v>
      </c>
      <c r="O41" s="109">
        <f>O40/O28</f>
        <v>21.844456330949029</v>
      </c>
      <c r="P41" s="109">
        <f>P40/P28</f>
        <v>-5.5297154923975391</v>
      </c>
      <c r="Q41" s="109">
        <f>Q40/Q28</f>
        <v>-3.4350450795592975</v>
      </c>
      <c r="R41" s="113">
        <f>R40/R28</f>
        <v>-1.519661514083555</v>
      </c>
      <c r="T41" t="str">
        <f>'2.Heat Targets'!G61</f>
        <v>This formula computes the estimated share of area residences using Wood heat  in the 90x50 scenario, based on values inputted in the "1.Current Heat" tab.</v>
      </c>
    </row>
    <row r="42" spans="9:20" x14ac:dyDescent="0.25">
      <c r="I42" s="81">
        <f>'2.Heat Targets'!B62</f>
        <v>97.348837209302332</v>
      </c>
      <c r="J42" s="82">
        <f>'2.Heat Targets'!C62</f>
        <v>389.39534883720933</v>
      </c>
      <c r="K42" s="82">
        <f>'2.Heat Targets'!D62</f>
        <v>786.27906976744202</v>
      </c>
      <c r="L42" s="83">
        <f>'2.Heat Targets'!E62</f>
        <v>988.46511627906989</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2.9584066819754047</v>
      </c>
      <c r="J43" s="63">
        <f>'2.Heat Targets'!C63</f>
        <v>12.612874706372512</v>
      </c>
      <c r="K43" s="63">
        <f>'2.Heat Targets'!D63</f>
        <v>26.638487769026206</v>
      </c>
      <c r="L43" s="64">
        <f>'2.Heat Targets'!E63</f>
        <v>33.79664727379874</v>
      </c>
      <c r="O43" s="62">
        <f>O42/((0.7*O34)/2.4)</f>
        <v>184.3836293603899</v>
      </c>
      <c r="P43" s="112">
        <f>P42/((0.75*P34)/2.6)</f>
        <v>-226.4007955954896</v>
      </c>
      <c r="Q43" s="112">
        <f>Q42/((0.8*Q34)/2.8)</f>
        <v>-347.36610324053186</v>
      </c>
      <c r="R43" s="64">
        <f>R42/((0.85*R34)/3)</f>
        <v>-242.18683501268825</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3.8926403710202694E-2</v>
      </c>
      <c r="J44" s="66">
        <f>'2.Heat Targets'!C64</f>
        <v>0.15656497897681868</v>
      </c>
      <c r="K44" s="66">
        <f>'2.Heat Targets'!D64</f>
        <v>0.31194946423416048</v>
      </c>
      <c r="L44" s="67">
        <f>'2.Heat Targets'!E64</f>
        <v>0.37337258885424335</v>
      </c>
      <c r="O44" s="109">
        <f>O43/O28</f>
        <v>2.4261003863209196</v>
      </c>
      <c r="P44" s="109">
        <f>P43/P28</f>
        <v>-2.8103375818705261</v>
      </c>
      <c r="Q44" s="109">
        <f>Q43/Q28</f>
        <v>-4.0678236219170039</v>
      </c>
      <c r="R44" s="113">
        <f>R43/R28</f>
        <v>-2.6755886417528378</v>
      </c>
      <c r="T44" t="str">
        <f>'2.Heat Targets'!G64</f>
        <v>This formula computes the estimated share of area residences using Heat Pumps in the 90x50 scenario based on values inputted above and in the "1.Current Heat" tab.</v>
      </c>
    </row>
    <row r="45" spans="9:20" x14ac:dyDescent="0.25">
      <c r="I45" s="81">
        <f>'2.Heat Targets'!B65</f>
        <v>1764.7596899224807</v>
      </c>
      <c r="J45" s="82">
        <f>'2.Heat Targets'!C65</f>
        <v>1380.356589147287</v>
      </c>
      <c r="K45" s="82">
        <f>'2.Heat Targets'!D65</f>
        <v>883.62790697674416</v>
      </c>
      <c r="L45" s="83">
        <f>'2.Heat Targets'!E65</f>
        <v>309.51937984496124</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15.642259261854997</v>
      </c>
      <c r="J46" s="63">
        <f>'2.Heat Targets'!C66</f>
        <v>12.897410711213016</v>
      </c>
      <c r="K46" s="63">
        <f>'2.Heat Targets'!D66</f>
        <v>8.5533103584900463</v>
      </c>
      <c r="L46" s="64">
        <f>'2.Heat Targets'!E66</f>
        <v>2.9984567530794499</v>
      </c>
      <c r="O46" s="62">
        <f>O45/O34</f>
        <v>2100.9918519807757</v>
      </c>
      <c r="P46" s="62">
        <f>P45/P34</f>
        <v>-430.52961811073914</v>
      </c>
      <c r="Q46" s="62">
        <f>Q45/Q34</f>
        <v>-177.17203397384694</v>
      </c>
      <c r="R46" s="112">
        <f>R45/R34</f>
        <v>-20.62725267130962</v>
      </c>
      <c r="T46" t="str">
        <f>'2.Heat Targets'!G66</f>
        <v>This formula computes the estimates number of area residences using fossil heat in the 90x50 scenario based on values inputted in the "1.Current Heat" tab.</v>
      </c>
    </row>
    <row r="47" spans="9:20" x14ac:dyDescent="0.25">
      <c r="I47" s="65">
        <f>'2.Heat Targets'!B67</f>
        <v>0.20581920081388155</v>
      </c>
      <c r="J47" s="66">
        <f>'2.Heat Targets'!C67</f>
        <v>0.16009695520373654</v>
      </c>
      <c r="K47" s="66">
        <f>'2.Heat Targets'!D67</f>
        <v>0.10016336538675083</v>
      </c>
      <c r="L47" s="67">
        <f>'2.Heat Targets'!E67</f>
        <v>3.3125817226630674E-2</v>
      </c>
      <c r="O47" s="109">
        <f>O46/O28</f>
        <v>27.644629631325994</v>
      </c>
      <c r="P47" s="109">
        <f>P46/P28</f>
        <v>-5.3442107511263544</v>
      </c>
      <c r="Q47" s="109">
        <f>Q46/Q28</f>
        <v>-2.0747694671948125</v>
      </c>
      <c r="R47" s="113">
        <f>R46/R28</f>
        <v>-0.22788209340540941</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59" t="s">
        <v>492</v>
      </c>
      <c r="C3" s="260"/>
      <c r="D3" s="260"/>
      <c r="E3" s="260"/>
      <c r="F3" s="260"/>
      <c r="G3" s="260"/>
      <c r="H3" s="260"/>
      <c r="I3" s="260"/>
      <c r="J3" s="260"/>
      <c r="K3" s="261"/>
      <c r="O3" t="s">
        <v>213</v>
      </c>
    </row>
    <row r="4" spans="2:15" x14ac:dyDescent="0.25">
      <c r="B4" s="101"/>
      <c r="C4" s="238" t="s">
        <v>493</v>
      </c>
      <c r="D4" s="238"/>
      <c r="E4" s="238"/>
      <c r="F4" s="238"/>
      <c r="G4" s="238"/>
      <c r="H4" s="238"/>
      <c r="I4" s="238"/>
      <c r="J4" s="238"/>
      <c r="K4" s="249"/>
      <c r="O4" t="s">
        <v>246</v>
      </c>
    </row>
    <row r="5" spans="2:15" x14ac:dyDescent="0.25">
      <c r="B5" s="101"/>
      <c r="C5" s="238" t="s">
        <v>155</v>
      </c>
      <c r="D5" s="238"/>
      <c r="E5" s="238"/>
      <c r="F5" s="238"/>
      <c r="G5" s="238"/>
      <c r="H5" s="238"/>
      <c r="I5" s="238"/>
      <c r="J5" s="238"/>
      <c r="K5" s="249"/>
      <c r="O5" t="s">
        <v>285</v>
      </c>
    </row>
    <row r="6" spans="2:15" x14ac:dyDescent="0.25">
      <c r="B6" s="101"/>
      <c r="C6" s="102"/>
      <c r="D6" s="238" t="s">
        <v>153</v>
      </c>
      <c r="E6" s="238"/>
      <c r="F6" s="238"/>
      <c r="G6" s="238"/>
      <c r="H6" s="238"/>
      <c r="I6" s="238"/>
      <c r="J6" s="238"/>
      <c r="K6" s="249"/>
      <c r="O6" t="s">
        <v>290</v>
      </c>
    </row>
    <row r="7" spans="2:15" x14ac:dyDescent="0.25">
      <c r="B7" s="101"/>
      <c r="C7" s="102"/>
      <c r="D7" s="238" t="s">
        <v>154</v>
      </c>
      <c r="E7" s="238"/>
      <c r="F7" s="238"/>
      <c r="G7" s="238"/>
      <c r="H7" s="238"/>
      <c r="I7" s="238"/>
      <c r="J7" s="238"/>
      <c r="K7" s="249"/>
      <c r="O7" t="s">
        <v>323</v>
      </c>
    </row>
    <row r="8" spans="2:15" x14ac:dyDescent="0.25">
      <c r="B8" s="101"/>
      <c r="C8" s="102"/>
      <c r="D8" s="262" t="s">
        <v>156</v>
      </c>
      <c r="E8" s="262"/>
      <c r="F8" s="262"/>
      <c r="G8" s="262"/>
      <c r="H8" s="262"/>
      <c r="I8" s="262"/>
      <c r="J8" s="262"/>
      <c r="K8" s="263"/>
      <c r="O8" t="s">
        <v>324</v>
      </c>
    </row>
    <row r="9" spans="2:15" x14ac:dyDescent="0.25">
      <c r="B9" s="101"/>
      <c r="C9" s="102"/>
      <c r="D9" s="102"/>
      <c r="E9" s="102"/>
      <c r="F9" s="102"/>
      <c r="G9" s="102"/>
      <c r="H9" s="102"/>
      <c r="I9" s="102"/>
      <c r="J9" s="102"/>
      <c r="K9" s="103"/>
      <c r="O9" t="s">
        <v>397</v>
      </c>
    </row>
    <row r="10" spans="2:15" ht="15" customHeight="1" x14ac:dyDescent="0.25">
      <c r="B10" s="240" t="s">
        <v>468</v>
      </c>
      <c r="C10" s="241"/>
      <c r="D10" s="241"/>
      <c r="E10" s="241"/>
      <c r="F10" s="241"/>
      <c r="G10" s="241"/>
      <c r="H10" s="241"/>
      <c r="I10" s="264" t="s">
        <v>356</v>
      </c>
      <c r="J10" s="264"/>
      <c r="K10" s="264"/>
      <c r="O10" t="s">
        <v>431</v>
      </c>
    </row>
    <row r="11" spans="2:15" ht="15" customHeight="1" x14ac:dyDescent="0.25">
      <c r="B11" s="240" t="s">
        <v>469</v>
      </c>
      <c r="C11" s="241"/>
      <c r="D11" s="241"/>
      <c r="E11" s="241"/>
      <c r="F11" s="241"/>
      <c r="G11" s="241"/>
      <c r="H11" s="242"/>
      <c r="I11" s="250">
        <f>INDEX(town_population[Pop Share of State],MATCH(I10,town_population[Municipality]))</f>
        <v>2.5704150022830394E-4</v>
      </c>
      <c r="J11" s="251"/>
      <c r="K11" s="252"/>
      <c r="O11" t="s">
        <v>433</v>
      </c>
    </row>
    <row r="12" spans="2:15" ht="15" customHeight="1" x14ac:dyDescent="0.25">
      <c r="B12" s="204" t="s">
        <v>507</v>
      </c>
      <c r="C12" s="205"/>
      <c r="D12" s="205"/>
      <c r="E12" s="205"/>
      <c r="F12" s="205"/>
      <c r="G12" s="205"/>
      <c r="H12" s="205"/>
      <c r="I12" s="250">
        <f>INDEX(town_population[Pop Share of Region],MATCH(I10,town_population[Municipality],0))</f>
        <v>2.4961240310077521E-3</v>
      </c>
      <c r="J12" s="251"/>
      <c r="K12" s="252"/>
    </row>
    <row r="13" spans="2:15" ht="15" customHeight="1" x14ac:dyDescent="0.25">
      <c r="B13" s="256" t="s">
        <v>499</v>
      </c>
      <c r="C13" s="257"/>
      <c r="D13" s="257"/>
      <c r="E13" s="257"/>
      <c r="F13" s="257"/>
      <c r="G13" s="257"/>
      <c r="H13" s="257"/>
      <c r="I13" s="257"/>
      <c r="J13" s="257"/>
      <c r="K13" s="258"/>
    </row>
    <row r="14" spans="2:15" ht="15" customHeight="1" x14ac:dyDescent="0.25">
      <c r="B14" s="206" t="s">
        <v>513</v>
      </c>
      <c r="C14" s="207"/>
      <c r="D14" s="207"/>
      <c r="E14" s="207"/>
      <c r="F14" s="207"/>
      <c r="G14" s="207"/>
      <c r="H14" s="207"/>
      <c r="I14" s="253">
        <f>INDEX(town_establishments[share of state establishments],MATCH(I10,town_establishments[Municipality],0))</f>
        <v>3.676084444911249E-4</v>
      </c>
      <c r="J14" s="254"/>
      <c r="K14" s="255"/>
    </row>
    <row r="15" spans="2:15" ht="15" customHeight="1" x14ac:dyDescent="0.25">
      <c r="B15" s="206" t="s">
        <v>514</v>
      </c>
      <c r="C15" s="207"/>
      <c r="D15" s="207"/>
      <c r="E15" s="207"/>
      <c r="F15" s="207"/>
      <c r="G15" s="207"/>
      <c r="H15" s="207"/>
      <c r="I15" s="250">
        <f>INDEX(town_establishments[share of regional establishments],MATCH(I10,town_establishments[Municipality],0))</f>
        <v>4.7978067169294038E-3</v>
      </c>
      <c r="J15" s="251"/>
      <c r="K15" s="252"/>
    </row>
    <row r="16" spans="2:15" ht="15" customHeight="1" x14ac:dyDescent="0.25">
      <c r="B16" s="256" t="s">
        <v>499</v>
      </c>
      <c r="C16" s="257"/>
      <c r="D16" s="257"/>
      <c r="E16" s="257"/>
      <c r="F16" s="257"/>
      <c r="G16" s="257"/>
      <c r="H16" s="257"/>
      <c r="I16" s="257"/>
      <c r="J16" s="257"/>
      <c r="K16" s="25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8" t="s">
        <v>157</v>
      </c>
      <c r="D20" s="238"/>
      <c r="E20" s="238"/>
      <c r="F20" s="238"/>
      <c r="G20" s="238"/>
      <c r="H20" s="238"/>
      <c r="I20" s="201" t="s">
        <v>497</v>
      </c>
      <c r="J20" s="102"/>
      <c r="K20" s="103"/>
    </row>
    <row r="21" spans="1:15" ht="15" customHeight="1" x14ac:dyDescent="0.25">
      <c r="B21" s="101"/>
      <c r="C21" s="238" t="s">
        <v>495</v>
      </c>
      <c r="D21" s="238"/>
      <c r="E21" s="238"/>
      <c r="F21" s="238"/>
      <c r="G21" s="238"/>
      <c r="H21" s="23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zoomScale="70" zoomScaleNormal="70" workbookViewId="0">
      <selection activeCell="B17" sqref="B17"/>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9609.122269090909</v>
      </c>
      <c r="C5" s="265"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128</v>
      </c>
      <c r="C9" s="268" t="s">
        <v>483</v>
      </c>
      <c r="D9" s="266"/>
      <c r="E9" s="266"/>
      <c r="F9" s="266"/>
      <c r="G9" s="266"/>
      <c r="H9" s="266"/>
      <c r="I9" s="266"/>
      <c r="J9" s="266"/>
      <c r="K9" s="266"/>
      <c r="L9" s="266"/>
      <c r="M9" s="266"/>
      <c r="N9" s="266"/>
    </row>
    <row r="10" spans="1:16" ht="36" customHeight="1" x14ac:dyDescent="0.25">
      <c r="B10" s="21"/>
      <c r="C10" s="31"/>
      <c r="D10" s="125" t="s">
        <v>60</v>
      </c>
      <c r="E10" s="269" t="s">
        <v>64</v>
      </c>
      <c r="F10" s="269"/>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70"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70"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81454.545454545456</v>
      </c>
      <c r="C18" s="267" t="s">
        <v>43</v>
      </c>
      <c r="D18" s="267"/>
      <c r="E18" s="267"/>
      <c r="F18" s="267"/>
      <c r="G18" s="267"/>
      <c r="H18" s="267"/>
      <c r="I18" s="267"/>
      <c r="J18" s="267"/>
      <c r="K18" s="267"/>
      <c r="L18" s="267"/>
      <c r="M18" s="267"/>
      <c r="N18" s="267"/>
    </row>
    <row r="19" spans="1:14" ht="36" customHeight="1" x14ac:dyDescent="0.25">
      <c r="A19" s="32">
        <v>4</v>
      </c>
      <c r="B19" s="121">
        <v>0.09</v>
      </c>
      <c r="C19" s="270" t="s">
        <v>486</v>
      </c>
      <c r="D19" s="266"/>
      <c r="E19" s="266"/>
      <c r="F19" s="266"/>
      <c r="G19" s="266"/>
      <c r="H19" s="266"/>
      <c r="I19" s="266"/>
      <c r="J19" s="266"/>
      <c r="K19" s="266"/>
      <c r="L19" s="266"/>
      <c r="M19" s="266"/>
      <c r="N19" s="266"/>
    </row>
    <row r="20" spans="1:14" ht="36" customHeight="1" x14ac:dyDescent="0.25">
      <c r="B20" s="120">
        <f>(1-B19)*B18</f>
        <v>74123.636363636368</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8988.1209600000002</v>
      </c>
      <c r="C22" s="266" t="s">
        <v>66</v>
      </c>
      <c r="D22" s="266"/>
      <c r="E22" s="266"/>
      <c r="F22" s="266"/>
      <c r="G22" s="266"/>
      <c r="H22" s="266"/>
      <c r="I22" s="266"/>
      <c r="J22" s="266"/>
      <c r="K22" s="266"/>
      <c r="L22" s="266"/>
      <c r="M22" s="266"/>
      <c r="N22" s="266"/>
    </row>
    <row r="23" spans="1:14" ht="36" customHeight="1" x14ac:dyDescent="0.25">
      <c r="B23" s="120">
        <f>B18-B20</f>
        <v>7330.9090909090883</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621.00130909090888</v>
      </c>
      <c r="C25" s="266" t="s">
        <v>69</v>
      </c>
      <c r="D25" s="266"/>
      <c r="E25" s="266"/>
      <c r="F25" s="266"/>
      <c r="G25" s="266"/>
      <c r="H25" s="266"/>
      <c r="I25" s="266"/>
      <c r="J25" s="266"/>
      <c r="K25" s="266"/>
      <c r="L25" s="266"/>
      <c r="M25" s="266"/>
      <c r="N25" s="266"/>
    </row>
    <row r="26" spans="1:14" ht="36" customHeight="1" x14ac:dyDescent="0.25">
      <c r="B26" s="122">
        <f>B22+B25</f>
        <v>9609.122269090909</v>
      </c>
      <c r="C26" s="265"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0</v>
      </c>
      <c r="C32" s="270"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0</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0</v>
      </c>
      <c r="C38" s="271"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tabSelected="1" zoomScale="70" zoomScaleNormal="70" workbookViewId="0">
      <selection activeCell="B11" sqref="B11"/>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12414.114062901317</v>
      </c>
      <c r="C4" s="265"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76</v>
      </c>
      <c r="C8" s="277" t="s">
        <v>79</v>
      </c>
      <c r="D8" s="267"/>
      <c r="E8" s="267"/>
      <c r="F8" s="267"/>
      <c r="G8" s="267"/>
      <c r="H8" s="267"/>
      <c r="I8" s="267"/>
      <c r="J8" s="267"/>
      <c r="K8" s="267"/>
      <c r="L8" s="267"/>
      <c r="M8" s="267"/>
      <c r="N8" s="267"/>
    </row>
    <row r="9" spans="1:15" ht="42.75" customHeight="1" x14ac:dyDescent="0.25">
      <c r="B9" s="56"/>
      <c r="C9" s="26"/>
      <c r="D9" s="57" t="s">
        <v>92</v>
      </c>
      <c r="E9" s="276" t="s">
        <v>64</v>
      </c>
      <c r="F9" s="276"/>
      <c r="G9" s="267" t="s">
        <v>81</v>
      </c>
      <c r="H9" s="267"/>
      <c r="I9" s="267"/>
      <c r="J9" s="267"/>
      <c r="K9" s="267"/>
      <c r="L9" s="267"/>
      <c r="M9" s="267"/>
      <c r="N9" s="267"/>
    </row>
    <row r="10" spans="1:15" ht="52.5" customHeight="1" x14ac:dyDescent="0.25">
      <c r="A10" s="54">
        <v>2</v>
      </c>
      <c r="B10" s="36">
        <v>112.82</v>
      </c>
      <c r="C10" s="272" t="s">
        <v>543</v>
      </c>
      <c r="D10" s="273"/>
      <c r="E10" s="273"/>
      <c r="F10" s="273"/>
      <c r="G10" s="273"/>
      <c r="H10" s="273"/>
      <c r="I10" s="273"/>
      <c r="J10" s="273"/>
      <c r="K10" s="273"/>
      <c r="L10" s="273"/>
      <c r="M10" s="273"/>
      <c r="N10" s="273"/>
      <c r="O10" s="212">
        <f>SUM('2.Heat Targets'!E58,'2.Heat Targets'!E61,'2.Heat Targets'!E64,'2.Heat Targets'!E67)</f>
        <v>0.71985795129730779</v>
      </c>
    </row>
    <row r="11" spans="1:15" ht="42.75" customHeight="1" x14ac:dyDescent="0.25">
      <c r="B11" s="54"/>
      <c r="C11" s="59"/>
      <c r="D11" s="33" t="s">
        <v>58</v>
      </c>
      <c r="E11" s="273" t="s">
        <v>86</v>
      </c>
      <c r="F11" s="273"/>
      <c r="G11" s="273"/>
      <c r="H11" s="273"/>
      <c r="I11" s="273"/>
      <c r="J11" s="273"/>
      <c r="K11" s="273"/>
      <c r="L11" s="273"/>
      <c r="M11" s="273"/>
      <c r="N11" s="273"/>
    </row>
    <row r="12" spans="1:15" ht="42.75" customHeight="1" x14ac:dyDescent="0.25">
      <c r="B12" s="56"/>
      <c r="C12" s="60"/>
      <c r="D12" s="34">
        <v>0.26</v>
      </c>
      <c r="E12" s="273" t="s">
        <v>83</v>
      </c>
      <c r="F12" s="273"/>
      <c r="G12" s="273"/>
      <c r="H12" s="273"/>
      <c r="I12" s="273"/>
      <c r="J12" s="273"/>
      <c r="K12" s="273"/>
      <c r="L12" s="273"/>
      <c r="M12" s="273"/>
      <c r="N12" s="273"/>
    </row>
    <row r="13" spans="1:15" ht="42.75" customHeight="1" x14ac:dyDescent="0.25">
      <c r="B13" s="56"/>
      <c r="C13" s="60"/>
      <c r="D13" s="34">
        <v>0.5</v>
      </c>
      <c r="E13" s="273" t="s">
        <v>84</v>
      </c>
      <c r="F13" s="273"/>
      <c r="G13" s="273"/>
      <c r="H13" s="273"/>
      <c r="I13" s="273"/>
      <c r="J13" s="273"/>
      <c r="K13" s="273"/>
      <c r="L13" s="273"/>
      <c r="M13" s="273"/>
      <c r="N13" s="273"/>
    </row>
    <row r="14" spans="1:15" ht="42.75" customHeight="1" x14ac:dyDescent="0.25">
      <c r="B14" s="56"/>
      <c r="C14" s="60"/>
      <c r="D14" s="34">
        <v>0.2</v>
      </c>
      <c r="E14" s="273" t="s">
        <v>85</v>
      </c>
      <c r="F14" s="273"/>
      <c r="G14" s="273"/>
      <c r="H14" s="273"/>
      <c r="I14" s="273"/>
      <c r="J14" s="273"/>
      <c r="K14" s="273"/>
      <c r="L14" s="273"/>
      <c r="M14" s="273"/>
      <c r="N14" s="273"/>
    </row>
    <row r="15" spans="1:15" ht="42.75" customHeight="1" x14ac:dyDescent="0.25">
      <c r="B15" s="56"/>
      <c r="C15" s="60"/>
      <c r="D15" s="35">
        <v>2.2999999999999998</v>
      </c>
      <c r="E15" s="273" t="s">
        <v>87</v>
      </c>
      <c r="F15" s="273"/>
      <c r="G15" s="273"/>
      <c r="H15" s="273"/>
      <c r="I15" s="273"/>
      <c r="J15" s="273"/>
      <c r="K15" s="273"/>
      <c r="L15" s="273"/>
      <c r="M15" s="273"/>
      <c r="N15" s="273"/>
    </row>
    <row r="16" spans="1:15" ht="42.75" customHeight="1" x14ac:dyDescent="0.25">
      <c r="B16" s="56"/>
      <c r="C16" s="60"/>
      <c r="D16" s="34">
        <f>(20000*1.25)/257000</f>
        <v>9.727626459143969E-2</v>
      </c>
      <c r="E16" s="273" t="s">
        <v>93</v>
      </c>
      <c r="F16" s="273"/>
      <c r="G16" s="273"/>
      <c r="H16" s="273"/>
      <c r="I16" s="273"/>
      <c r="J16" s="273"/>
      <c r="K16" s="273"/>
      <c r="L16" s="273"/>
      <c r="M16" s="273"/>
      <c r="N16" s="273"/>
    </row>
    <row r="17" spans="1:17" x14ac:dyDescent="0.25">
      <c r="B17" s="56"/>
      <c r="C17" s="27"/>
      <c r="F17" s="26"/>
      <c r="G17" s="27"/>
      <c r="H17" s="27"/>
      <c r="I17" s="27"/>
      <c r="J17" s="27"/>
      <c r="K17" s="27"/>
      <c r="L17" s="27"/>
    </row>
    <row r="18" spans="1:17" ht="42.75" customHeight="1" x14ac:dyDescent="0.25">
      <c r="B18" s="55">
        <f>B8*B10</f>
        <v>8574.32</v>
      </c>
      <c r="C18" s="271"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7</v>
      </c>
      <c r="C22" s="268"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548.54200898590261</v>
      </c>
      <c r="C24" s="274" t="s">
        <v>541</v>
      </c>
      <c r="D24" s="275"/>
      <c r="E24" s="275"/>
      <c r="F24" s="275"/>
      <c r="G24" s="275"/>
      <c r="H24" s="275"/>
      <c r="I24" s="275"/>
      <c r="J24" s="275"/>
      <c r="K24" s="275"/>
      <c r="L24" s="275"/>
      <c r="M24" s="275"/>
      <c r="N24" s="275"/>
      <c r="O24" s="212">
        <f ca="1">SUM('2.Heat Targets'!E76,'2.Heat Targets'!E79,'2.Heat Targets'!E82,'2.Heat Targets'!E85)</f>
        <v>0.90910832772840922</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3</v>
      </c>
      <c r="L28" s="41">
        <f t="shared" ca="1" si="1"/>
        <v>0.42857142857142855</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1</v>
      </c>
      <c r="L29" s="41">
        <f t="shared" ca="1" si="1"/>
        <v>0.14285714285714285</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0</v>
      </c>
      <c r="L32" s="41">
        <f t="shared" ca="1" si="1"/>
        <v>0</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0</v>
      </c>
      <c r="L33" s="41">
        <f t="shared" ca="1" si="1"/>
        <v>0</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1</v>
      </c>
      <c r="L35" s="41">
        <f t="shared" ca="1" si="1"/>
        <v>0.14285714285714285</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0</v>
      </c>
      <c r="L36" s="41">
        <f t="shared" ca="1" si="1"/>
        <v>0</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0</v>
      </c>
      <c r="L37" s="41">
        <f t="shared" ca="1" si="1"/>
        <v>0</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1</v>
      </c>
      <c r="L39" s="41">
        <f t="shared" ca="1" si="1"/>
        <v>0.14285714285714285</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1</v>
      </c>
      <c r="L40" s="41">
        <f t="shared" ca="1" si="1"/>
        <v>0.14285714285714285</v>
      </c>
      <c r="Q40" s="23"/>
    </row>
    <row r="41" spans="2:19" ht="33" customHeight="1" x14ac:dyDescent="0.25">
      <c r="B41" s="54"/>
      <c r="D41" s="42"/>
      <c r="E41" s="185">
        <f>SUM(E27:E40)</f>
        <v>18617</v>
      </c>
      <c r="F41" s="185"/>
      <c r="G41" s="185">
        <f>SUM(G27:G40)</f>
        <v>201453</v>
      </c>
      <c r="H41" s="43"/>
      <c r="I41" s="44">
        <v>13000000</v>
      </c>
      <c r="J41" s="43"/>
      <c r="K41" s="185">
        <f ca="1">SUM(K27:K40)</f>
        <v>7</v>
      </c>
      <c r="L41" s="45">
        <f ca="1">SUMPRODUCT(J27:J40,L27:L40)</f>
        <v>548.54200898590261</v>
      </c>
      <c r="M41" s="278" t="s">
        <v>542</v>
      </c>
      <c r="N41" s="279"/>
      <c r="O41" s="279"/>
      <c r="P41" s="279"/>
      <c r="Q41" s="279"/>
      <c r="R41" s="279"/>
      <c r="S41" s="279"/>
    </row>
    <row r="42" spans="2:19" ht="22.5" customHeight="1" x14ac:dyDescent="0.25">
      <c r="B42" s="54"/>
    </row>
    <row r="43" spans="2:19" ht="37.5" customHeight="1" x14ac:dyDescent="0.25">
      <c r="B43" s="55">
        <f ca="1">B22*B24</f>
        <v>3839.7940629013183</v>
      </c>
      <c r="C43" s="271" t="s">
        <v>488</v>
      </c>
      <c r="D43" s="267"/>
      <c r="E43" s="267"/>
      <c r="F43" s="267"/>
      <c r="G43" s="267"/>
      <c r="H43" s="267"/>
      <c r="I43" s="267"/>
      <c r="J43" s="267"/>
      <c r="K43" s="267"/>
      <c r="L43" s="267"/>
      <c r="M43" s="267"/>
      <c r="N43" s="267"/>
    </row>
    <row r="45" spans="2:19" ht="37.5" customHeight="1" x14ac:dyDescent="0.25">
      <c r="B45" s="194">
        <f ca="1">SUMPRODUCT(K27:K40,H27:H40)/SUMPRODUCT(E27:E40,H27:H40)</f>
        <v>3.80521029181219E-4</v>
      </c>
      <c r="C45" s="266" t="s">
        <v>489</v>
      </c>
      <c r="D45" s="266"/>
      <c r="E45" s="266"/>
      <c r="F45" s="266"/>
      <c r="G45" s="266"/>
      <c r="H45" s="266"/>
      <c r="I45" s="266"/>
      <c r="J45" s="266"/>
      <c r="K45" s="266"/>
      <c r="L45" s="266"/>
      <c r="M45" s="266"/>
      <c r="N45" s="266"/>
      <c r="O45" s="266"/>
    </row>
    <row r="52" spans="4:4" x14ac:dyDescent="0.25">
      <c r="D52" s="23"/>
    </row>
  </sheetData>
  <mergeCells count="17">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6" t="s">
        <v>491</v>
      </c>
      <c r="C4" s="287"/>
      <c r="D4" s="287"/>
      <c r="E4" s="287"/>
      <c r="F4" s="287"/>
      <c r="G4" s="287"/>
      <c r="H4" s="287"/>
      <c r="I4" s="287"/>
      <c r="J4" s="287"/>
      <c r="K4" s="287"/>
      <c r="L4" s="287"/>
      <c r="M4" s="287"/>
      <c r="N4" s="288"/>
    </row>
    <row r="5" spans="2:15" ht="19.5" customHeight="1" x14ac:dyDescent="0.25">
      <c r="B5" s="289"/>
      <c r="C5" s="290"/>
      <c r="D5" s="290"/>
      <c r="E5" s="290"/>
      <c r="F5" s="290"/>
      <c r="G5" s="290"/>
      <c r="H5" s="290"/>
      <c r="I5" s="290"/>
      <c r="J5" s="290"/>
      <c r="K5" s="290"/>
      <c r="L5" s="290"/>
      <c r="M5" s="290"/>
      <c r="N5" s="291"/>
    </row>
    <row r="6" spans="2:15" ht="19.5" customHeight="1" x14ac:dyDescent="0.25">
      <c r="B6" s="292"/>
      <c r="C6" s="293"/>
      <c r="D6" s="293"/>
      <c r="E6" s="293"/>
      <c r="F6" s="293"/>
      <c r="G6" s="293"/>
      <c r="H6" s="293"/>
      <c r="I6" s="293"/>
      <c r="J6" s="293"/>
      <c r="K6" s="293"/>
      <c r="L6" s="293"/>
      <c r="M6" s="293"/>
      <c r="N6" s="29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5" t="s">
        <v>150</v>
      </c>
      <c r="N11" s="296"/>
      <c r="O11" s="297"/>
    </row>
    <row r="12" spans="2:15" x14ac:dyDescent="0.25">
      <c r="B12" s="1">
        <v>100</v>
      </c>
      <c r="C12" s="2" t="s">
        <v>99</v>
      </c>
      <c r="D12" s="2"/>
      <c r="E12" s="2"/>
      <c r="F12" s="2"/>
      <c r="G12" s="2"/>
      <c r="H12" s="2"/>
      <c r="I12" s="2"/>
      <c r="J12" s="2"/>
      <c r="K12" s="3"/>
      <c r="M12" s="298"/>
      <c r="N12" s="299"/>
      <c r="O12" s="30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5" t="s">
        <v>168</v>
      </c>
      <c r="N14" s="296"/>
      <c r="O14" s="297"/>
    </row>
    <row r="15" spans="2:15" x14ac:dyDescent="0.25">
      <c r="B15" s="1">
        <v>100</v>
      </c>
      <c r="C15" s="114" t="s">
        <v>164</v>
      </c>
      <c r="D15" s="2"/>
      <c r="E15" s="2"/>
      <c r="F15" s="2"/>
      <c r="G15" s="2"/>
      <c r="H15" s="2"/>
      <c r="I15" s="2"/>
      <c r="J15" s="2"/>
      <c r="K15" s="3"/>
      <c r="M15" s="298"/>
      <c r="N15" s="299"/>
      <c r="O15" s="30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5" t="s">
        <v>169</v>
      </c>
      <c r="N17" s="296"/>
      <c r="O17" s="297"/>
    </row>
    <row r="18" spans="2:18" x14ac:dyDescent="0.25">
      <c r="B18" s="1">
        <v>100</v>
      </c>
      <c r="C18" s="2" t="s">
        <v>161</v>
      </c>
      <c r="D18" s="2"/>
      <c r="E18" s="2"/>
      <c r="F18" s="2"/>
      <c r="G18" s="2"/>
      <c r="H18" s="2"/>
      <c r="I18" s="2"/>
      <c r="J18" s="2"/>
      <c r="K18" s="3"/>
      <c r="M18" s="298"/>
      <c r="N18" s="299"/>
      <c r="O18" s="30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12697.782945736435</v>
      </c>
      <c r="C24" s="129">
        <f>'LEAP Region'!C14*1000</f>
        <v>10645.968992248061</v>
      </c>
      <c r="D24" s="129">
        <f>'LEAP Region'!D14*1000</f>
        <v>8796.3410852713168</v>
      </c>
      <c r="E24" s="130">
        <f>'LEAP Region'!E14*1000</f>
        <v>6003.1782945736441</v>
      </c>
      <c r="G24" s="301" t="s">
        <v>122</v>
      </c>
      <c r="H24" s="301"/>
      <c r="I24" s="301"/>
      <c r="J24" s="301"/>
      <c r="K24" s="301"/>
      <c r="L24" s="301"/>
      <c r="M24" s="301"/>
      <c r="N24" s="301"/>
    </row>
    <row r="25" spans="2:18" ht="56.25" customHeight="1" x14ac:dyDescent="0.25">
      <c r="B25" s="178">
        <f>('LEAP Region'!B7+'LEAP Region'!B8)*(2.4-1)*1000</f>
        <v>101.34263565891472</v>
      </c>
      <c r="C25" s="179">
        <f>('LEAP Region'!C7+'LEAP Region'!C8)*(2.6-1)*1000</f>
        <v>543.15658914728692</v>
      </c>
      <c r="D25" s="179">
        <f>('LEAP Region'!D7+'LEAP Region'!D8)*(2.8-1)*1000</f>
        <v>1069.3395348837209</v>
      </c>
      <c r="E25" s="180">
        <f>('LEAP Region'!E7+'LEAP Region'!E8)*(2.3-1)*1000</f>
        <v>1145.4713178294573</v>
      </c>
      <c r="G25" s="301" t="s">
        <v>178</v>
      </c>
      <c r="H25" s="301"/>
      <c r="I25" s="301"/>
      <c r="J25" s="301"/>
      <c r="K25" s="301"/>
      <c r="L25" s="301"/>
      <c r="M25" s="301"/>
      <c r="N25" s="301"/>
    </row>
    <row r="26" spans="2:18" ht="56.25" customHeight="1" x14ac:dyDescent="0.25">
      <c r="B26" s="128">
        <f>'LEAP Region'!H14*1000</f>
        <v>12370.790697674422</v>
      </c>
      <c r="C26" s="129">
        <f>'LEAP Region'!I14*1000</f>
        <v>10099.317829457366</v>
      </c>
      <c r="D26" s="129">
        <f>'LEAP Region'!J14*1000</f>
        <v>7638.1395348837214</v>
      </c>
      <c r="E26" s="130">
        <f>'LEAP Region'!K14*1000</f>
        <v>4303.3178294573636</v>
      </c>
      <c r="G26" s="301" t="s">
        <v>123</v>
      </c>
      <c r="H26" s="301"/>
      <c r="I26" s="301"/>
      <c r="J26" s="301"/>
      <c r="K26" s="301"/>
      <c r="L26" s="301"/>
      <c r="M26" s="301"/>
      <c r="N26" s="301"/>
    </row>
    <row r="27" spans="2:18" ht="56.25" customHeight="1" thickBot="1" x14ac:dyDescent="0.3">
      <c r="B27" s="181">
        <f>('LEAP Region'!H7+'LEAP Region'!H8)*(2.4-1)*1000</f>
        <v>136.28837209302324</v>
      </c>
      <c r="C27" s="182">
        <f>('LEAP Region'!I7+'LEAP Region'!I8)*(2.6-1)*1000</f>
        <v>623.0325581395349</v>
      </c>
      <c r="D27" s="182">
        <f>('LEAP Region'!J7+'LEAP Region'!J8)*(2.8-1)*1000</f>
        <v>1415.3023255813955</v>
      </c>
      <c r="E27" s="183">
        <f>('LEAP Region'!K7+'LEAP Region'!K8)*(3-1)*1000</f>
        <v>1976.9302325581398</v>
      </c>
      <c r="G27" s="301" t="s">
        <v>178</v>
      </c>
      <c r="H27" s="301"/>
      <c r="I27" s="301"/>
      <c r="J27" s="301"/>
      <c r="K27" s="301"/>
      <c r="L27" s="301"/>
      <c r="M27" s="301"/>
      <c r="N27" s="301"/>
    </row>
    <row r="28" spans="2:18" ht="56.25" customHeight="1" thickTop="1" x14ac:dyDescent="0.25">
      <c r="B28" s="128">
        <f>B24+B25-B26-B27</f>
        <v>292.04651162790549</v>
      </c>
      <c r="C28" s="129">
        <f>C24+C25-C26-C27</f>
        <v>466.77519379844728</v>
      </c>
      <c r="D28" s="129">
        <f>D24+D25-D26-D27</f>
        <v>812.23875968992024</v>
      </c>
      <c r="E28" s="130">
        <f>E24+E25-E26-E27</f>
        <v>868.40155038759849</v>
      </c>
      <c r="G28" s="301" t="s">
        <v>177</v>
      </c>
      <c r="H28" s="301"/>
      <c r="I28" s="301"/>
      <c r="J28" s="301"/>
      <c r="K28" s="301"/>
      <c r="L28" s="301"/>
      <c r="M28" s="301"/>
      <c r="N28" s="301"/>
    </row>
    <row r="29" spans="2:18" ht="56.25" customHeight="1" x14ac:dyDescent="0.25">
      <c r="B29" s="280">
        <f>0.25*'1.Current Heat'!B10</f>
        <v>28.204999999999998</v>
      </c>
      <c r="C29" s="281"/>
      <c r="D29" s="281"/>
      <c r="E29" s="282"/>
      <c r="G29" s="301" t="s">
        <v>124</v>
      </c>
      <c r="H29" s="301"/>
      <c r="I29" s="301"/>
      <c r="J29" s="301"/>
      <c r="K29" s="301"/>
      <c r="L29" s="301"/>
      <c r="M29" s="301"/>
      <c r="N29" s="301"/>
      <c r="R29">
        <v>60</v>
      </c>
    </row>
    <row r="30" spans="2:18" ht="56.25" customHeight="1" x14ac:dyDescent="0.25">
      <c r="B30" s="128">
        <f>B28/$B$29</f>
        <v>10.354423386913863</v>
      </c>
      <c r="C30" s="129">
        <f>C28/$B$29</f>
        <v>16.549377550024722</v>
      </c>
      <c r="D30" s="129">
        <f>D28/$B$29</f>
        <v>28.797686923946827</v>
      </c>
      <c r="E30" s="130">
        <f>E28/$B$29</f>
        <v>30.788922190661179</v>
      </c>
      <c r="G30" s="301" t="s">
        <v>125</v>
      </c>
      <c r="H30" s="301"/>
      <c r="I30" s="301"/>
      <c r="J30" s="301"/>
      <c r="K30" s="301"/>
      <c r="L30" s="301"/>
      <c r="M30" s="301"/>
      <c r="N30" s="301"/>
      <c r="R30">
        <v>96</v>
      </c>
    </row>
    <row r="31" spans="2:18" ht="56.25" customHeight="1" x14ac:dyDescent="0.25">
      <c r="B31" s="131">
        <f>'1.Current Heat'!B8</f>
        <v>76</v>
      </c>
      <c r="C31" s="132">
        <f t="shared" ref="C31:E31" si="0">B31*1.06</f>
        <v>80.56</v>
      </c>
      <c r="D31" s="132">
        <f t="shared" si="0"/>
        <v>85.393600000000006</v>
      </c>
      <c r="E31" s="133">
        <f t="shared" si="0"/>
        <v>90.517216000000005</v>
      </c>
      <c r="G31" s="301" t="s">
        <v>126</v>
      </c>
      <c r="H31" s="301"/>
      <c r="I31" s="301"/>
      <c r="J31" s="301"/>
      <c r="K31" s="301"/>
      <c r="L31" s="301"/>
      <c r="M31" s="301"/>
      <c r="N31" s="301"/>
      <c r="O31" s="186">
        <f>(E31/B31)^(1/(E23-B23))-1</f>
        <v>5.006971033976404E-3</v>
      </c>
      <c r="R31">
        <f>R29+R30</f>
        <v>156</v>
      </c>
    </row>
    <row r="32" spans="2:18" ht="56.25" customHeight="1" x14ac:dyDescent="0.25">
      <c r="B32" s="134">
        <f>B30/B31</f>
        <v>0.13624241298570872</v>
      </c>
      <c r="C32" s="135">
        <f>C30/C31</f>
        <v>0.20542921487121055</v>
      </c>
      <c r="D32" s="135">
        <f>D30/D31</f>
        <v>0.33723472161785922</v>
      </c>
      <c r="E32" s="136">
        <f>E30/E31</f>
        <v>0.34014437861921404</v>
      </c>
      <c r="G32" s="301" t="s">
        <v>183</v>
      </c>
      <c r="H32" s="301"/>
      <c r="I32" s="301"/>
      <c r="J32" s="301"/>
      <c r="K32" s="301"/>
      <c r="L32" s="301"/>
      <c r="M32" s="301"/>
      <c r="N32" s="30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4322.8238519533925</v>
      </c>
      <c r="C37" s="129">
        <f>('LEAP Region'!O11-'LEAP Region'!O6)*1000</f>
        <v>4111.7203564085012</v>
      </c>
      <c r="D37" s="129">
        <f>('LEAP Region'!P11-'LEAP Region'!P6)*1000</f>
        <v>3804.6607265250173</v>
      </c>
      <c r="E37" s="130">
        <f>('LEAP Region'!Q11-'LEAP Region'!Q6)*1000</f>
        <v>3377.6559287183004</v>
      </c>
      <c r="G37" s="301" t="s">
        <v>179</v>
      </c>
      <c r="H37" s="301"/>
      <c r="I37" s="301"/>
      <c r="J37" s="301"/>
      <c r="K37" s="301"/>
      <c r="L37" s="301"/>
      <c r="M37" s="301"/>
      <c r="N37" s="301"/>
    </row>
    <row r="38" spans="2:34" ht="56.25" customHeight="1" x14ac:dyDescent="0.25">
      <c r="B38" s="128">
        <f>'LEAP Region'!N6*1000</f>
        <v>3617.5462645647704</v>
      </c>
      <c r="C38" s="129">
        <f>'LEAP Region'!O6*1000</f>
        <v>3847.8409869773818</v>
      </c>
      <c r="D38" s="129">
        <f>'LEAP Region'!P6*1000</f>
        <v>4015.7642220699108</v>
      </c>
      <c r="E38" s="130">
        <f>'LEAP Region'!Q6*1000</f>
        <v>4370.8019191226867</v>
      </c>
      <c r="F38" s="184"/>
      <c r="G38" s="301" t="s">
        <v>97</v>
      </c>
      <c r="H38" s="301"/>
      <c r="I38" s="301"/>
      <c r="J38" s="301"/>
      <c r="K38" s="301"/>
      <c r="L38" s="301"/>
      <c r="M38" s="301"/>
      <c r="N38" s="301"/>
    </row>
    <row r="39" spans="2:34" ht="56.25" customHeight="1" x14ac:dyDescent="0.25">
      <c r="B39" s="128">
        <f>0.005*B38</f>
        <v>18.087731322823853</v>
      </c>
      <c r="C39" s="129">
        <f>B39-(($B$39-$E$39)/3)</f>
        <v>84.905186200594017</v>
      </c>
      <c r="D39" s="129">
        <f>C39-(($B$39-$E$39)/3)</f>
        <v>151.72264107836418</v>
      </c>
      <c r="E39" s="130">
        <f>0.05*E38</f>
        <v>218.54009595613434</v>
      </c>
      <c r="G39" s="301" t="s">
        <v>195</v>
      </c>
      <c r="H39" s="301"/>
      <c r="I39" s="301"/>
      <c r="J39" s="301"/>
      <c r="K39" s="301"/>
      <c r="L39" s="301"/>
      <c r="M39" s="301"/>
      <c r="N39" s="301"/>
      <c r="V39" s="21"/>
      <c r="W39" s="21"/>
      <c r="X39" s="21"/>
      <c r="Y39" s="21"/>
      <c r="AH39" s="21"/>
    </row>
    <row r="40" spans="2:34" ht="56.25" customHeight="1" x14ac:dyDescent="0.25">
      <c r="B40" s="142">
        <f>B39*(2.4-1)</f>
        <v>25.322823851953391</v>
      </c>
      <c r="C40" s="143">
        <f>C39*(2.6-1)</f>
        <v>135.84829792095044</v>
      </c>
      <c r="D40" s="143">
        <f>D39*(2.8-1)</f>
        <v>273.10075394105547</v>
      </c>
      <c r="E40" s="144">
        <f>E39*(3-1)</f>
        <v>437.08019191226867</v>
      </c>
      <c r="G40" s="301" t="s">
        <v>196</v>
      </c>
      <c r="H40" s="301"/>
      <c r="I40" s="301"/>
      <c r="J40" s="301"/>
      <c r="K40" s="301"/>
      <c r="L40" s="301"/>
      <c r="M40" s="301"/>
      <c r="N40" s="301"/>
      <c r="V40" s="21"/>
      <c r="W40" s="21"/>
      <c r="X40" s="21"/>
      <c r="Y40" s="21"/>
      <c r="AH40" s="21"/>
    </row>
    <row r="41" spans="2:34" ht="56.25" customHeight="1" x14ac:dyDescent="0.25">
      <c r="B41" s="128">
        <f>('LEAP Region'!T11-'LEAP Region'!T6)*1000</f>
        <v>4308.4304318026052</v>
      </c>
      <c r="C41" s="129">
        <f>('LEAP Region'!U11-'LEAP Region'!U6)*1000</f>
        <v>4006.1686086360523</v>
      </c>
      <c r="D41" s="129">
        <f>('LEAP Region'!V11-'LEAP Region'!V6)*1000</f>
        <v>3603.1528444139835</v>
      </c>
      <c r="E41" s="130">
        <f>('LEAP Region'!W11-'LEAP Region'!W6)*1000</f>
        <v>3022.6182316655245</v>
      </c>
      <c r="G41" s="301" t="s">
        <v>197</v>
      </c>
      <c r="H41" s="301"/>
      <c r="I41" s="301"/>
      <c r="J41" s="301"/>
      <c r="K41" s="301"/>
      <c r="L41" s="301"/>
      <c r="M41" s="301"/>
      <c r="N41" s="301"/>
      <c r="AH41" s="21"/>
    </row>
    <row r="42" spans="2:34" ht="56.25" customHeight="1" x14ac:dyDescent="0.25">
      <c r="B42" s="128">
        <f>'LEAP Region'!T6*1000</f>
        <v>3569.5681973954761</v>
      </c>
      <c r="C42" s="129">
        <f>'LEAP Region'!U6*1000</f>
        <v>3535.9835503769705</v>
      </c>
      <c r="D42" s="129">
        <f>'LEAP Region'!V6*1000</f>
        <v>3425.6339958875947</v>
      </c>
      <c r="E42" s="130">
        <f>'LEAP Region'!W6*1000</f>
        <v>3320.0822481151472</v>
      </c>
      <c r="G42" s="301" t="s">
        <v>98</v>
      </c>
      <c r="H42" s="301"/>
      <c r="I42" s="301"/>
      <c r="J42" s="301"/>
      <c r="K42" s="301"/>
      <c r="L42" s="301"/>
      <c r="M42" s="301"/>
      <c r="N42" s="301"/>
      <c r="V42" s="29"/>
      <c r="W42" s="29"/>
      <c r="X42" s="29"/>
      <c r="Y42" s="29"/>
      <c r="AH42" s="21"/>
    </row>
    <row r="43" spans="2:34" ht="56.25" customHeight="1" x14ac:dyDescent="0.25">
      <c r="B43" s="128">
        <f>B39</f>
        <v>18.087731322823853</v>
      </c>
      <c r="C43" s="129">
        <f>B43-(($B$43-$E$43)/3)</f>
        <v>101.89475287487626</v>
      </c>
      <c r="D43" s="129">
        <f>C43-(($B$43-$E$43)/3)</f>
        <v>185.70177442692867</v>
      </c>
      <c r="E43" s="130">
        <f>0.8*((E37+E39+E40-E41)/3)</f>
        <v>269.50879597898108</v>
      </c>
      <c r="G43" s="301" t="s">
        <v>142</v>
      </c>
      <c r="H43" s="301"/>
      <c r="I43" s="301"/>
      <c r="J43" s="301"/>
      <c r="K43" s="301"/>
      <c r="L43" s="301"/>
      <c r="M43" s="301"/>
      <c r="N43" s="301"/>
      <c r="AH43" s="21"/>
    </row>
    <row r="44" spans="2:34" ht="56.25" customHeight="1" x14ac:dyDescent="0.25">
      <c r="B44" s="128">
        <f>B43*(2.4-1)</f>
        <v>25.322823851953391</v>
      </c>
      <c r="C44" s="129">
        <f>C43*(2.6-1)</f>
        <v>163.03160459980202</v>
      </c>
      <c r="D44" s="129">
        <f>D43*(2.8-1)</f>
        <v>334.26319396847157</v>
      </c>
      <c r="E44" s="130">
        <f>E43*(3-1)</f>
        <v>539.01759195796217</v>
      </c>
      <c r="F44" s="21"/>
      <c r="G44" s="301" t="s">
        <v>96</v>
      </c>
      <c r="H44" s="301"/>
      <c r="I44" s="301"/>
      <c r="J44" s="301"/>
      <c r="K44" s="301"/>
      <c r="L44" s="301"/>
      <c r="M44" s="301"/>
      <c r="N44" s="301"/>
      <c r="R44">
        <v>33</v>
      </c>
      <c r="V44" s="21"/>
      <c r="W44" s="21"/>
      <c r="X44" s="21"/>
      <c r="Y44" s="21"/>
      <c r="AH44" s="21"/>
    </row>
    <row r="45" spans="2:34" ht="56.25" customHeight="1" x14ac:dyDescent="0.25">
      <c r="B45" s="128">
        <f>B37+B39+B40-B41-B43-B44</f>
        <v>14.393420150787104</v>
      </c>
      <c r="C45" s="129">
        <f>C37+C39+C40-C41-C43-C44</f>
        <v>61.378874419315281</v>
      </c>
      <c r="D45" s="129">
        <f>D37+D39+D40-D41-D43-D44</f>
        <v>106.36630873505294</v>
      </c>
      <c r="E45" s="130">
        <f>E37+E39+E40-E41-E43-E44</f>
        <v>202.13159698423567</v>
      </c>
      <c r="F45" s="92"/>
      <c r="G45" s="301" t="s">
        <v>149</v>
      </c>
      <c r="H45" s="301"/>
      <c r="I45" s="301"/>
      <c r="J45" s="301"/>
      <c r="K45" s="301"/>
      <c r="L45" s="301"/>
      <c r="M45" s="301"/>
      <c r="N45" s="301"/>
      <c r="R45">
        <v>6</v>
      </c>
      <c r="AH45" s="21"/>
    </row>
    <row r="46" spans="2:34" ht="56.25" customHeight="1" x14ac:dyDescent="0.25">
      <c r="B46" s="283">
        <f ca="1">0.2*'1.Current Heat'!B24</f>
        <v>109.70840179718053</v>
      </c>
      <c r="C46" s="284"/>
      <c r="D46" s="284"/>
      <c r="E46" s="285"/>
      <c r="G46" s="301" t="s">
        <v>127</v>
      </c>
      <c r="H46" s="301"/>
      <c r="I46" s="301"/>
      <c r="J46" s="301"/>
      <c r="K46" s="301"/>
      <c r="L46" s="301"/>
      <c r="M46" s="301"/>
      <c r="N46" s="301"/>
      <c r="R46">
        <f>R45/R44</f>
        <v>0.18181818181818182</v>
      </c>
      <c r="AH46" s="21"/>
    </row>
    <row r="47" spans="2:34" ht="56.25" customHeight="1" x14ac:dyDescent="0.25">
      <c r="B47" s="128">
        <f ca="1">B45/$B$46</f>
        <v>0.13119706344274729</v>
      </c>
      <c r="C47" s="129">
        <f ca="1">C45/$B$46</f>
        <v>0.5594728700249163</v>
      </c>
      <c r="D47" s="129">
        <f ca="1">D45/$B$46</f>
        <v>0.96953658054096747</v>
      </c>
      <c r="E47" s="130">
        <f ca="1">E45/$B$46</f>
        <v>1.8424440942811218</v>
      </c>
      <c r="G47" s="301" t="s">
        <v>128</v>
      </c>
      <c r="H47" s="301"/>
      <c r="I47" s="301"/>
      <c r="J47" s="301"/>
      <c r="K47" s="301"/>
      <c r="L47" s="301"/>
      <c r="M47" s="301"/>
      <c r="N47" s="301"/>
    </row>
    <row r="48" spans="2:34" ht="56.25" customHeight="1" x14ac:dyDescent="0.25">
      <c r="B48" s="131">
        <f ca="1">'1.Current Heat'!B22</f>
        <v>7</v>
      </c>
      <c r="C48" s="132">
        <f t="shared" ref="C48:E48" ca="1" si="1">B48*1.06</f>
        <v>7.42</v>
      </c>
      <c r="D48" s="132">
        <f t="shared" ca="1" si="1"/>
        <v>7.8652000000000006</v>
      </c>
      <c r="E48" s="133">
        <f t="shared" ca="1" si="1"/>
        <v>8.3371120000000012</v>
      </c>
      <c r="G48" s="301" t="s">
        <v>194</v>
      </c>
      <c r="H48" s="301"/>
      <c r="I48" s="301"/>
      <c r="J48" s="301"/>
      <c r="K48" s="301"/>
      <c r="L48" s="301"/>
      <c r="M48" s="301"/>
      <c r="N48" s="301"/>
      <c r="O48" s="186">
        <f ca="1">(E48/B48)^(1/(E36-B36))-1</f>
        <v>5.006971033976404E-3</v>
      </c>
    </row>
    <row r="49" spans="1:14" ht="56.25" customHeight="1" x14ac:dyDescent="0.25">
      <c r="B49" s="134">
        <f ca="1">B47/B48</f>
        <v>1.8742437634678182E-2</v>
      </c>
      <c r="C49" s="135">
        <f ca="1">C47/C48</f>
        <v>7.54006563375898E-2</v>
      </c>
      <c r="D49" s="135">
        <f ca="1">D47/D48</f>
        <v>0.12326915787786291</v>
      </c>
      <c r="E49" s="136">
        <f ca="1">E47/E48</f>
        <v>0.22099308420963057</v>
      </c>
      <c r="G49" s="301" t="s">
        <v>182</v>
      </c>
      <c r="H49" s="301"/>
      <c r="I49" s="301"/>
      <c r="J49" s="301"/>
      <c r="K49" s="301"/>
      <c r="L49" s="301"/>
      <c r="M49" s="301"/>
      <c r="N49" s="30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112.82</v>
      </c>
      <c r="C54" s="147">
        <f>C32*($B$54-$B$29)+(1-C32)*$B$54</f>
        <v>107.0258689945575</v>
      </c>
      <c r="D54" s="147">
        <f>D32*($B$54-$B$29)+(1-D32)*$B$54</f>
        <v>103.30829467676827</v>
      </c>
      <c r="E54" s="148">
        <f>E32*($B$54-$B$29)+(1-E32)*$B$54</f>
        <v>103.22622780104507</v>
      </c>
      <c r="F54" s="1"/>
      <c r="G54" s="301" t="s">
        <v>109</v>
      </c>
      <c r="H54" s="301"/>
      <c r="I54" s="301"/>
      <c r="J54" s="301"/>
      <c r="K54" s="301"/>
      <c r="L54" s="301"/>
      <c r="M54" s="301"/>
      <c r="N54" s="301"/>
    </row>
    <row r="55" spans="1:14" ht="56.25" customHeight="1" x14ac:dyDescent="0.25">
      <c r="B55" s="149">
        <f>('LEAP Region'!H4+'LEAP Region'!H9+'LEAP Region'!H12)*1000</f>
        <v>4562.9147286821708</v>
      </c>
      <c r="C55" s="150">
        <f>('LEAP Region'!I4+'LEAP Region'!I9+'LEAP Region'!I12)*1000</f>
        <v>3312.3565891472867</v>
      </c>
      <c r="D55" s="150">
        <f>('LEAP Region'!J4+'LEAP Region'!J9+'LEAP Region'!J12)*1000</f>
        <v>2106.7286821705425</v>
      </c>
      <c r="E55" s="151">
        <f>('LEAP Region'!K4+'LEAP Region'!K9+'LEAP Region'!K12)*1000</f>
        <v>317.00775193798455</v>
      </c>
      <c r="G55" s="301" t="s">
        <v>110</v>
      </c>
      <c r="H55" s="301"/>
      <c r="I55" s="301"/>
      <c r="J55" s="301"/>
      <c r="K55" s="301"/>
      <c r="L55" s="301"/>
      <c r="M55" s="301"/>
      <c r="N55" s="301"/>
    </row>
    <row r="56" spans="1:14" ht="56.25" customHeight="1" x14ac:dyDescent="0.25">
      <c r="B56" s="152">
        <f>'LEAP Region'!H4*1000/'2.Heat Targets'!B55</f>
        <v>7.6586433260393879E-3</v>
      </c>
      <c r="C56" s="153">
        <f>'LEAP Region'!I4*1000/'2.Heat Targets'!C55</f>
        <v>3.7678975131876416E-2</v>
      </c>
      <c r="D56" s="153">
        <f>'LEAP Region'!J4*1000/'2.Heat Targets'!D55</f>
        <v>9.7156398104265421E-2</v>
      </c>
      <c r="E56" s="154">
        <f>'LEAP Region'!K4*1000/'2.Heat Targets'!E55</f>
        <v>1</v>
      </c>
      <c r="G56" s="301" t="s">
        <v>137</v>
      </c>
      <c r="H56" s="301"/>
      <c r="I56" s="301"/>
      <c r="J56" s="301"/>
      <c r="K56" s="301"/>
      <c r="L56" s="301"/>
      <c r="M56" s="301"/>
      <c r="N56" s="301"/>
    </row>
    <row r="57" spans="1:14" ht="56.25" customHeight="1" x14ac:dyDescent="0.25">
      <c r="B57" s="128">
        <f>B55/B54</f>
        <v>40.444200750595385</v>
      </c>
      <c r="C57" s="129">
        <f>C55/C54</f>
        <v>30.949121182241718</v>
      </c>
      <c r="D57" s="129">
        <f>D55/D54</f>
        <v>20.392638255835024</v>
      </c>
      <c r="E57" s="130">
        <f>E55/E54</f>
        <v>3.071000061621695</v>
      </c>
      <c r="G57" s="301" t="s">
        <v>111</v>
      </c>
      <c r="H57" s="301"/>
      <c r="I57" s="301"/>
      <c r="J57" s="301"/>
      <c r="K57" s="301"/>
      <c r="L57" s="301"/>
      <c r="M57" s="301"/>
      <c r="N57" s="301"/>
    </row>
    <row r="58" spans="1:14" ht="56.25" customHeight="1" x14ac:dyDescent="0.25">
      <c r="B58" s="134">
        <f>B57/B31</f>
        <v>0.53216053619204451</v>
      </c>
      <c r="C58" s="135">
        <f>C57/C31</f>
        <v>0.38417479123934606</v>
      </c>
      <c r="D58" s="135">
        <f>D57/D31</f>
        <v>0.23880757171304434</v>
      </c>
      <c r="E58" s="136">
        <f>E57/E31</f>
        <v>3.392724828856529E-2</v>
      </c>
      <c r="G58" s="301" t="s">
        <v>130</v>
      </c>
      <c r="H58" s="301"/>
      <c r="I58" s="301"/>
      <c r="J58" s="301"/>
      <c r="K58" s="301"/>
      <c r="L58" s="301"/>
      <c r="M58" s="301"/>
      <c r="N58" s="301"/>
    </row>
    <row r="59" spans="1:14" ht="56.25" customHeight="1" x14ac:dyDescent="0.25">
      <c r="B59" s="149">
        <f>('LEAP Region'!H5+'LEAP Region'!H13)*1000</f>
        <v>5429.0697674418607</v>
      </c>
      <c r="C59" s="150">
        <f>('LEAP Region'!I5+'LEAP Region'!I13)*1000</f>
        <v>4550.4341085271326</v>
      </c>
      <c r="D59" s="150">
        <f>('LEAP Region'!J5+'LEAP Region'!J13)*1000</f>
        <v>3606.8992248062018</v>
      </c>
      <c r="E59" s="151">
        <f>('LEAP Region'!K5+'LEAP Region'!K13)*1000</f>
        <v>2610.9457364341088</v>
      </c>
      <c r="G59" s="301" t="s">
        <v>112</v>
      </c>
      <c r="H59" s="301"/>
      <c r="I59" s="301"/>
      <c r="J59" s="301"/>
      <c r="K59" s="301"/>
      <c r="L59" s="301"/>
      <c r="M59" s="301"/>
      <c r="N59" s="301"/>
    </row>
    <row r="60" spans="1:14" ht="56.25" customHeight="1" x14ac:dyDescent="0.25">
      <c r="A60" s="2"/>
      <c r="B60" s="128">
        <f>B59/B54</f>
        <v>48.121518945593522</v>
      </c>
      <c r="C60" s="129">
        <f>C59/C54</f>
        <v>42.517142362642552</v>
      </c>
      <c r="D60" s="129">
        <f>D59/D54</f>
        <v>34.913936350333664</v>
      </c>
      <c r="E60" s="130">
        <f>E59/E54</f>
        <v>25.293433578396005</v>
      </c>
      <c r="G60" s="301" t="s">
        <v>140</v>
      </c>
      <c r="H60" s="301"/>
      <c r="I60" s="301"/>
      <c r="J60" s="301"/>
      <c r="K60" s="301"/>
      <c r="L60" s="301"/>
      <c r="M60" s="301"/>
      <c r="N60" s="301"/>
    </row>
    <row r="61" spans="1:14" ht="56.25" customHeight="1" x14ac:dyDescent="0.25">
      <c r="B61" s="134">
        <f>B60/B31</f>
        <v>0.6331778808630727</v>
      </c>
      <c r="C61" s="135">
        <f>C60/C31</f>
        <v>0.52776989030092536</v>
      </c>
      <c r="D61" s="135">
        <f>D60/D31</f>
        <v>0.40885893498264109</v>
      </c>
      <c r="E61" s="136">
        <f>E60/E31</f>
        <v>0.27943229692786842</v>
      </c>
      <c r="G61" s="301" t="s">
        <v>131</v>
      </c>
      <c r="H61" s="301"/>
      <c r="I61" s="301"/>
      <c r="J61" s="301"/>
      <c r="K61" s="301"/>
      <c r="L61" s="301"/>
      <c r="M61" s="301"/>
      <c r="N61" s="301"/>
    </row>
    <row r="62" spans="1:14" ht="56.25" customHeight="1" x14ac:dyDescent="0.25">
      <c r="B62" s="149">
        <f>('LEAP Region'!H7+'LEAP Region'!H8)*1000</f>
        <v>97.348837209302332</v>
      </c>
      <c r="C62" s="150">
        <f>('LEAP Region'!I7+'LEAP Region'!I8)*1000</f>
        <v>389.39534883720933</v>
      </c>
      <c r="D62" s="150">
        <f>('LEAP Region'!J7+'LEAP Region'!J8)*1000</f>
        <v>786.27906976744202</v>
      </c>
      <c r="E62" s="151">
        <f>('LEAP Region'!K7+'LEAP Region'!K8)*1000</f>
        <v>988.46511627906989</v>
      </c>
      <c r="G62" s="301" t="s">
        <v>113</v>
      </c>
      <c r="H62" s="301"/>
      <c r="I62" s="301"/>
      <c r="J62" s="301"/>
      <c r="K62" s="301"/>
      <c r="L62" s="301"/>
      <c r="M62" s="301"/>
      <c r="N62" s="301"/>
    </row>
    <row r="63" spans="1:14" ht="56.25" customHeight="1" x14ac:dyDescent="0.25">
      <c r="B63" s="128">
        <f>B62/((0.7*B54)/2.4)</f>
        <v>2.9584066819754047</v>
      </c>
      <c r="C63" s="129">
        <f>C62/((0.75*C54)/2.6)</f>
        <v>12.612874706372512</v>
      </c>
      <c r="D63" s="129">
        <f>D62/((0.8*D54)/2.8)</f>
        <v>26.638487769026206</v>
      </c>
      <c r="E63" s="130">
        <f>E62/((0.85*E54)/3)</f>
        <v>33.79664727379874</v>
      </c>
      <c r="F63" s="91"/>
      <c r="G63" s="301" t="s">
        <v>180</v>
      </c>
      <c r="H63" s="301"/>
      <c r="I63" s="301"/>
      <c r="J63" s="301"/>
      <c r="K63" s="301"/>
      <c r="L63" s="301"/>
      <c r="M63" s="301"/>
      <c r="N63" s="301"/>
    </row>
    <row r="64" spans="1:14" ht="56.25" customHeight="1" x14ac:dyDescent="0.25">
      <c r="B64" s="134">
        <f>B63/B31</f>
        <v>3.8926403710202694E-2</v>
      </c>
      <c r="C64" s="135">
        <f>C63/C31</f>
        <v>0.15656497897681868</v>
      </c>
      <c r="D64" s="135">
        <f>D63/D31</f>
        <v>0.31194946423416048</v>
      </c>
      <c r="E64" s="136">
        <f>E63/E31</f>
        <v>0.37337258885424335</v>
      </c>
      <c r="G64" s="301" t="s">
        <v>114</v>
      </c>
      <c r="H64" s="301"/>
      <c r="I64" s="301"/>
      <c r="J64" s="301"/>
      <c r="K64" s="301"/>
      <c r="L64" s="301"/>
      <c r="M64" s="301"/>
      <c r="N64" s="301"/>
    </row>
    <row r="65" spans="1:20" ht="56.25" customHeight="1" x14ac:dyDescent="0.25">
      <c r="B65" s="149">
        <f>('LEAP Region'!H10+'LEAP Region'!H11)*1000</f>
        <v>1764.7596899224807</v>
      </c>
      <c r="C65" s="150">
        <f>('LEAP Region'!I10+'LEAP Region'!I11)*1000</f>
        <v>1380.356589147287</v>
      </c>
      <c r="D65" s="150">
        <f>('LEAP Region'!J10+'LEAP Region'!J11)*1000</f>
        <v>883.62790697674416</v>
      </c>
      <c r="E65" s="151">
        <f>('LEAP Region'!K10+'LEAP Region'!K11)*1000</f>
        <v>309.51937984496124</v>
      </c>
      <c r="G65" s="301" t="s">
        <v>115</v>
      </c>
      <c r="H65" s="301"/>
      <c r="I65" s="301"/>
      <c r="J65" s="301"/>
      <c r="K65" s="301"/>
      <c r="L65" s="301"/>
      <c r="M65" s="301"/>
      <c r="N65" s="301"/>
    </row>
    <row r="66" spans="1:20" ht="56.25" customHeight="1" x14ac:dyDescent="0.25">
      <c r="B66" s="128">
        <f>B65/B54</f>
        <v>15.642259261854997</v>
      </c>
      <c r="C66" s="129">
        <f>C65/C54</f>
        <v>12.897410711213016</v>
      </c>
      <c r="D66" s="129">
        <f>D65/D54</f>
        <v>8.5533103584900463</v>
      </c>
      <c r="E66" s="130">
        <f>E65/E54</f>
        <v>2.9984567530794499</v>
      </c>
      <c r="G66" s="301" t="s">
        <v>146</v>
      </c>
      <c r="H66" s="301"/>
      <c r="I66" s="301"/>
      <c r="J66" s="301"/>
      <c r="K66" s="301"/>
      <c r="L66" s="301"/>
      <c r="M66" s="301"/>
      <c r="N66" s="301"/>
    </row>
    <row r="67" spans="1:20" ht="56.25" customHeight="1" x14ac:dyDescent="0.25">
      <c r="A67" s="21"/>
      <c r="B67" s="134">
        <f>B66/B31</f>
        <v>0.20581920081388155</v>
      </c>
      <c r="C67" s="135">
        <f>C66/C31</f>
        <v>0.16009695520373654</v>
      </c>
      <c r="D67" s="135">
        <f>D66/D31</f>
        <v>0.10016336538675083</v>
      </c>
      <c r="E67" s="136">
        <f>E66/E31</f>
        <v>3.3125817226630674E-2</v>
      </c>
      <c r="G67" s="301" t="s">
        <v>116</v>
      </c>
      <c r="H67" s="301"/>
      <c r="I67" s="301"/>
      <c r="J67" s="301"/>
      <c r="K67" s="301"/>
      <c r="L67" s="301"/>
      <c r="M67" s="301"/>
      <c r="N67" s="30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548.54200898590261</v>
      </c>
      <c r="C72" s="156">
        <f ca="1">C49*($B$72-$B$46)+(1-C49)*$B$72</f>
        <v>540.26992348464717</v>
      </c>
      <c r="D72" s="156">
        <f ca="1">D49*($B$72-$B$46)+(1-D49)*$B$72</f>
        <v>535.01834668423794</v>
      </c>
      <c r="E72" s="157">
        <f ca="1">E49*($B$72-$B$46)+(1-E49)*$B$72</f>
        <v>524.29721090903433</v>
      </c>
      <c r="G72" s="302" t="s">
        <v>134</v>
      </c>
      <c r="H72" s="302"/>
      <c r="I72" s="302"/>
      <c r="J72" s="302"/>
      <c r="K72" s="302"/>
      <c r="L72" s="302"/>
      <c r="M72" s="302"/>
      <c r="N72" s="302"/>
    </row>
    <row r="73" spans="1:20" ht="56.25" customHeight="1" x14ac:dyDescent="0.25">
      <c r="B73" s="149">
        <f>('LEAP Region'!T4+'LEAP Region'!T5+'LEAP Region'!T9)*1000</f>
        <v>2197.3954763536672</v>
      </c>
      <c r="C73" s="150">
        <f>('LEAP Region'!U4+'LEAP Region'!U5+'LEAP Region'!U9)*1000</f>
        <v>1842.357779300891</v>
      </c>
      <c r="D73" s="150">
        <f>('LEAP Region'!V4+'LEAP Region'!V5+'LEAP Region'!V9)*1000</f>
        <v>1429.7464016449624</v>
      </c>
      <c r="E73" s="151">
        <f>('LEAP Region'!W4+'LEAP Region'!W5+'LEAP Region'!W9)*1000</f>
        <v>791.63810829335171</v>
      </c>
      <c r="G73" s="301" t="s">
        <v>133</v>
      </c>
      <c r="H73" s="301"/>
      <c r="I73" s="301"/>
      <c r="J73" s="301"/>
      <c r="K73" s="301"/>
      <c r="L73" s="301"/>
      <c r="M73" s="301"/>
      <c r="N73" s="301"/>
    </row>
    <row r="74" spans="1:20" ht="56.25" customHeight="1" x14ac:dyDescent="0.25">
      <c r="B74" s="158">
        <f ca="1">com_share_state_target*'LEAP Statewide'!T4*1000/'2.Heat Targets'!B73</f>
        <v>7.1345675236763623E-3</v>
      </c>
      <c r="C74" s="145">
        <f ca="1">com_share_state_target*'LEAP Statewide'!U4*1000/'2.Heat Targets'!C73</f>
        <v>5.3204767400975697E-2</v>
      </c>
      <c r="D74" s="145">
        <f ca="1">com_share_state_target*'LEAP Statewide'!V4*1000/'2.Heat Targets'!D73</f>
        <v>0.1286282750505226</v>
      </c>
      <c r="E74" s="159">
        <f ca="1">com_share_state_target*'LEAP Statewide'!W4*1000/'2.Heat Targets'!E73</f>
        <v>0.4130925091306471</v>
      </c>
      <c r="G74" s="301" t="s">
        <v>136</v>
      </c>
      <c r="H74" s="301"/>
      <c r="I74" s="301"/>
      <c r="J74" s="301"/>
      <c r="K74" s="301"/>
      <c r="L74" s="301"/>
      <c r="M74" s="301"/>
      <c r="N74" s="301"/>
    </row>
    <row r="75" spans="1:20" ht="56.25" customHeight="1" x14ac:dyDescent="0.25">
      <c r="B75" s="128">
        <f ca="1">B73/B72</f>
        <v>4.0058836704521923</v>
      </c>
      <c r="C75" s="129">
        <f ca="1">C73/C72</f>
        <v>3.4100691140050947</v>
      </c>
      <c r="D75" s="129">
        <f ca="1">D73/D72</f>
        <v>2.6723315387327888</v>
      </c>
      <c r="E75" s="130">
        <f ca="1">E73/E72</f>
        <v>1.5099033369275372</v>
      </c>
      <c r="G75" s="301" t="s">
        <v>135</v>
      </c>
      <c r="H75" s="301"/>
      <c r="I75" s="301"/>
      <c r="J75" s="301"/>
      <c r="K75" s="301"/>
      <c r="L75" s="301"/>
      <c r="M75" s="301"/>
      <c r="N75" s="301"/>
    </row>
    <row r="76" spans="1:20" ht="56.25" customHeight="1" x14ac:dyDescent="0.25">
      <c r="B76" s="134">
        <f ca="1">B75/B48</f>
        <v>0.57226909577888463</v>
      </c>
      <c r="C76" s="135">
        <f ca="1">C75/C48</f>
        <v>0.45957804770958149</v>
      </c>
      <c r="D76" s="135">
        <f ca="1">D75/D48</f>
        <v>0.33976650800142255</v>
      </c>
      <c r="E76" s="136">
        <f ca="1">E75/E48</f>
        <v>0.18110627959988268</v>
      </c>
      <c r="G76" s="301" t="s">
        <v>181</v>
      </c>
      <c r="H76" s="301"/>
      <c r="I76" s="301"/>
      <c r="J76" s="301"/>
      <c r="K76" s="301"/>
      <c r="L76" s="301"/>
      <c r="M76" s="301"/>
      <c r="N76" s="301"/>
    </row>
    <row r="77" spans="1:20" ht="56.25" customHeight="1" x14ac:dyDescent="0.25">
      <c r="B77" s="128">
        <f>'LEAP Region'!T10*1000</f>
        <v>676.49074708704597</v>
      </c>
      <c r="C77" s="129">
        <f>'LEAP Region'!U10*1000</f>
        <v>925.97669636737487</v>
      </c>
      <c r="D77" s="129">
        <f>'LEAP Region'!V10*1000</f>
        <v>1170.6648389307745</v>
      </c>
      <c r="E77" s="130">
        <f>'LEAP Region'!W10*1000</f>
        <v>1592.8718300205619</v>
      </c>
      <c r="G77" s="301" t="s">
        <v>138</v>
      </c>
      <c r="H77" s="301"/>
      <c r="I77" s="301"/>
      <c r="J77" s="301"/>
      <c r="K77" s="301"/>
      <c r="L77" s="301"/>
      <c r="M77" s="301"/>
      <c r="N77" s="301"/>
    </row>
    <row r="78" spans="1:20" ht="56.25" customHeight="1" x14ac:dyDescent="0.25">
      <c r="B78" s="128">
        <f ca="1">B77/B72</f>
        <v>1.2332523963619195</v>
      </c>
      <c r="C78" s="129">
        <f ca="1">C77/C72</f>
        <v>1.7139149453202689</v>
      </c>
      <c r="D78" s="129">
        <f ca="1">D77/D72</f>
        <v>2.1880835417812099</v>
      </c>
      <c r="E78" s="130">
        <f ca="1">E77/E72</f>
        <v>3.0381085324844985</v>
      </c>
      <c r="G78" s="301" t="s">
        <v>139</v>
      </c>
      <c r="H78" s="301"/>
      <c r="I78" s="301"/>
      <c r="J78" s="301"/>
      <c r="K78" s="301"/>
      <c r="L78" s="301"/>
      <c r="M78" s="301"/>
      <c r="N78" s="301"/>
    </row>
    <row r="79" spans="1:20" ht="56.25" customHeight="1" x14ac:dyDescent="0.25">
      <c r="B79" s="134">
        <f ca="1">B78/B48</f>
        <v>0.17617891376598852</v>
      </c>
      <c r="C79" s="135">
        <f ca="1">C78/C48</f>
        <v>0.23098584168736777</v>
      </c>
      <c r="D79" s="135">
        <f ca="1">D78/D48</f>
        <v>0.27819808037700372</v>
      </c>
      <c r="E79" s="136">
        <f ca="1">E78/E48</f>
        <v>0.364407786831279</v>
      </c>
      <c r="G79" s="301" t="s">
        <v>141</v>
      </c>
      <c r="H79" s="301"/>
      <c r="I79" s="301"/>
      <c r="J79" s="301"/>
      <c r="K79" s="301"/>
      <c r="L79" s="301"/>
      <c r="M79" s="301"/>
      <c r="N79" s="301"/>
    </row>
    <row r="80" spans="1:20" ht="56.25" customHeight="1" x14ac:dyDescent="0.25">
      <c r="B80" s="149">
        <f>B43</f>
        <v>18.087731322823853</v>
      </c>
      <c r="C80" s="150">
        <f>C43</f>
        <v>101.89475287487626</v>
      </c>
      <c r="D80" s="150">
        <f>D43</f>
        <v>185.70177442692867</v>
      </c>
      <c r="E80" s="151">
        <f>E43</f>
        <v>269.50879597898108</v>
      </c>
      <c r="G80" s="301" t="s">
        <v>142</v>
      </c>
      <c r="H80" s="301"/>
      <c r="I80" s="301"/>
      <c r="J80" s="301"/>
      <c r="K80" s="301"/>
      <c r="L80" s="301"/>
      <c r="M80" s="301"/>
      <c r="N80" s="301"/>
    </row>
    <row r="81" spans="2:14" ht="56.25" customHeight="1" x14ac:dyDescent="0.25">
      <c r="B81" s="128">
        <f ca="1">B80/((0.7*B72)/2.4)</f>
        <v>0.11305438381238751</v>
      </c>
      <c r="C81" s="129">
        <f ca="1">C80/((0.75*C72)/2.6)</f>
        <v>0.65381234073010353</v>
      </c>
      <c r="D81" s="129">
        <f ca="1">D80/((0.8*D72)/2.8)</f>
        <v>1.2148297614882493</v>
      </c>
      <c r="E81" s="130">
        <f ca="1">E80/((0.85*E72)/3)</f>
        <v>1.8142524801356761</v>
      </c>
      <c r="G81" s="301" t="s">
        <v>143</v>
      </c>
      <c r="H81" s="301"/>
      <c r="I81" s="301"/>
      <c r="J81" s="301"/>
      <c r="K81" s="301"/>
      <c r="L81" s="301"/>
      <c r="M81" s="301"/>
      <c r="N81" s="301"/>
    </row>
    <row r="82" spans="2:14" ht="56.25" customHeight="1" x14ac:dyDescent="0.25">
      <c r="B82" s="134">
        <f ca="1">B81/B48</f>
        <v>1.61506262589125E-2</v>
      </c>
      <c r="C82" s="135">
        <f ca="1">C81/C48</f>
        <v>8.81148707183428E-2</v>
      </c>
      <c r="D82" s="135">
        <f ca="1">D81/D48</f>
        <v>0.15445630899255572</v>
      </c>
      <c r="E82" s="136">
        <f ca="1">E81/E48</f>
        <v>0.2176116238015845</v>
      </c>
      <c r="G82" s="301" t="s">
        <v>144</v>
      </c>
      <c r="H82" s="301"/>
      <c r="I82" s="301"/>
      <c r="J82" s="301"/>
      <c r="K82" s="301"/>
      <c r="L82" s="301"/>
      <c r="M82" s="301"/>
      <c r="N82" s="301"/>
    </row>
    <row r="83" spans="2:14" ht="56.25" customHeight="1" x14ac:dyDescent="0.25">
      <c r="B83" s="149">
        <f>('LEAP Region'!T7+'LEAP Region'!T8)*1000</f>
        <v>1434.5442083618918</v>
      </c>
      <c r="C83" s="150">
        <f>('LEAP Region'!U7+'LEAP Region'!U8)*1000</f>
        <v>1237.8341329677862</v>
      </c>
      <c r="D83" s="150">
        <f>('LEAP Region'!V7+'LEAP Region'!V8)*1000</f>
        <v>1002.7416038382453</v>
      </c>
      <c r="E83" s="151">
        <f>('LEAP Region'!W7+'LEAP Region'!W8)*1000</f>
        <v>638.10829335161066</v>
      </c>
      <c r="G83" s="301" t="s">
        <v>145</v>
      </c>
      <c r="H83" s="301"/>
      <c r="I83" s="301"/>
      <c r="J83" s="301"/>
      <c r="K83" s="301"/>
      <c r="L83" s="301"/>
      <c r="M83" s="301"/>
      <c r="N83" s="301"/>
    </row>
    <row r="84" spans="2:14" ht="56.25" customHeight="1" x14ac:dyDescent="0.25">
      <c r="B84" s="128">
        <f ca="1">B83/B72</f>
        <v>2.615194797958964</v>
      </c>
      <c r="C84" s="129">
        <f ca="1">C83/C72</f>
        <v>2.2911401859721732</v>
      </c>
      <c r="D84" s="129">
        <f ca="1">D83/D72</f>
        <v>1.8742190993125933</v>
      </c>
      <c r="E84" s="130">
        <f ca="1">E83/E72</f>
        <v>1.2170735988567418</v>
      </c>
      <c r="G84" s="301" t="s">
        <v>147</v>
      </c>
      <c r="H84" s="301"/>
      <c r="I84" s="301"/>
      <c r="J84" s="301"/>
      <c r="K84" s="301"/>
      <c r="L84" s="301"/>
      <c r="M84" s="301"/>
      <c r="N84" s="301"/>
    </row>
    <row r="85" spans="2:14" ht="56.25" customHeight="1" x14ac:dyDescent="0.25">
      <c r="B85" s="134">
        <f ca="1">B84/B48</f>
        <v>0.37359925685128059</v>
      </c>
      <c r="C85" s="135">
        <f ca="1">C84/C48</f>
        <v>0.30877900080487508</v>
      </c>
      <c r="D85" s="135">
        <f ca="1">D84/D48</f>
        <v>0.23829261802784329</v>
      </c>
      <c r="E85" s="136">
        <f ca="1">E84/E48</f>
        <v>0.14598263749566295</v>
      </c>
      <c r="G85" s="301" t="s">
        <v>148</v>
      </c>
      <c r="H85" s="301"/>
      <c r="I85" s="301"/>
      <c r="J85" s="301"/>
      <c r="K85" s="301"/>
      <c r="L85" s="301"/>
      <c r="M85" s="301"/>
      <c r="N85" s="30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zoomScale="70" zoomScaleNormal="70" workbookViewId="0">
      <selection activeCell="G18" sqref="G18:N18"/>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6" t="s">
        <v>504</v>
      </c>
      <c r="C4" s="287"/>
      <c r="D4" s="287"/>
      <c r="E4" s="287"/>
      <c r="F4" s="287"/>
      <c r="G4" s="287"/>
      <c r="H4" s="287"/>
      <c r="I4" s="287"/>
      <c r="J4" s="287"/>
      <c r="K4" s="287"/>
      <c r="L4" s="287"/>
      <c r="M4" s="287"/>
      <c r="N4" s="288"/>
    </row>
    <row r="5" spans="2:15" ht="22.5" customHeight="1" x14ac:dyDescent="0.25">
      <c r="B5" s="289"/>
      <c r="C5" s="290"/>
      <c r="D5" s="290"/>
      <c r="E5" s="290"/>
      <c r="F5" s="290"/>
      <c r="G5" s="290"/>
      <c r="H5" s="290"/>
      <c r="I5" s="290"/>
      <c r="J5" s="290"/>
      <c r="K5" s="290"/>
      <c r="L5" s="290"/>
      <c r="M5" s="290"/>
      <c r="N5" s="291"/>
    </row>
    <row r="6" spans="2:15" ht="22.5" customHeight="1" x14ac:dyDescent="0.25">
      <c r="B6" s="292"/>
      <c r="C6" s="293"/>
      <c r="D6" s="293"/>
      <c r="E6" s="293"/>
      <c r="F6" s="293"/>
      <c r="G6" s="293"/>
      <c r="H6" s="293"/>
      <c r="I6" s="293"/>
      <c r="J6" s="293"/>
      <c r="K6" s="293"/>
      <c r="L6" s="293"/>
      <c r="M6" s="293"/>
      <c r="N6" s="29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5" t="s">
        <v>151</v>
      </c>
      <c r="N11" s="296"/>
      <c r="O11" s="297"/>
    </row>
    <row r="12" spans="2:15" x14ac:dyDescent="0.25">
      <c r="B12" s="1">
        <v>100</v>
      </c>
      <c r="C12" s="2" t="s">
        <v>103</v>
      </c>
      <c r="D12" s="2"/>
      <c r="E12" s="2"/>
      <c r="F12" s="2"/>
      <c r="G12" s="2"/>
      <c r="H12" s="2"/>
      <c r="I12" s="2"/>
      <c r="J12" s="2"/>
      <c r="K12" s="3"/>
      <c r="M12" s="298"/>
      <c r="N12" s="299"/>
      <c r="O12" s="30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7.4883720930232558</v>
      </c>
      <c r="C18" s="129">
        <f>'LEAP Region'!I26*1000</f>
        <v>204.68217054263567</v>
      </c>
      <c r="D18" s="129">
        <f>'LEAP Region'!J26*1000</f>
        <v>594.07751937984494</v>
      </c>
      <c r="E18" s="130">
        <f>'LEAP Region'!K26*1000</f>
        <v>1150.7131782945737</v>
      </c>
      <c r="G18" s="301" t="s">
        <v>474</v>
      </c>
      <c r="H18" s="301"/>
      <c r="I18" s="301"/>
      <c r="J18" s="301"/>
      <c r="K18" s="301"/>
      <c r="L18" s="301"/>
      <c r="M18" s="301"/>
      <c r="N18" s="30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301" t="s">
        <v>190</v>
      </c>
      <c r="H19" s="301"/>
      <c r="I19" s="301"/>
      <c r="J19" s="301"/>
      <c r="K19" s="301"/>
      <c r="L19" s="301"/>
      <c r="M19" s="301"/>
      <c r="N19" s="301"/>
      <c r="V19" t="s">
        <v>547</v>
      </c>
    </row>
    <row r="20" spans="2:22" ht="54.75" customHeight="1" x14ac:dyDescent="0.25">
      <c r="B20" s="128">
        <f>IF($F$22="adj",'1.Current Trans'!$O$13*B18/B19,B18/B19)</f>
        <v>0.52673191744594994</v>
      </c>
      <c r="C20" s="129">
        <f>IF($F$22="adj",'1.Current Trans'!$O$13*C18/C19,C18/C19)</f>
        <v>15.706188083842875</v>
      </c>
      <c r="D20" s="129">
        <f>IF($F$22="adj",'1.Current Trans'!$O$13*D18/D19,D18/D19)</f>
        <v>50.14487854085445</v>
      </c>
      <c r="E20" s="130">
        <f>IF($F$22="adj",'1.Current Trans'!$O$13*E18/E19,E18/E19)</f>
        <v>107.92151730781465</v>
      </c>
      <c r="G20" s="303" t="s">
        <v>106</v>
      </c>
      <c r="H20" s="303"/>
      <c r="I20" s="303"/>
      <c r="J20" s="303"/>
      <c r="K20" s="303"/>
      <c r="L20" s="303"/>
      <c r="M20" s="303"/>
      <c r="N20" s="303"/>
    </row>
    <row r="21" spans="2:22" ht="54.75" customHeight="1" x14ac:dyDescent="0.25">
      <c r="B21" s="131">
        <f>'1.Current Trans'!B9+'1.Current Trans'!B32</f>
        <v>128</v>
      </c>
      <c r="C21" s="132">
        <f t="shared" ref="C21:E21" si="0">B21*1.125</f>
        <v>144</v>
      </c>
      <c r="D21" s="132">
        <f t="shared" si="0"/>
        <v>162</v>
      </c>
      <c r="E21" s="133">
        <f t="shared" si="0"/>
        <v>182.25</v>
      </c>
      <c r="G21" s="303" t="s">
        <v>189</v>
      </c>
      <c r="H21" s="303"/>
      <c r="I21" s="303"/>
      <c r="J21" s="303"/>
      <c r="K21" s="303"/>
      <c r="L21" s="303"/>
      <c r="M21" s="303"/>
      <c r="N21" s="303"/>
      <c r="O21" s="186">
        <f>(E21/B21)^(1/(E17-B17))-1</f>
        <v>1.014682216717655E-2</v>
      </c>
    </row>
    <row r="22" spans="2:22" ht="54.75" customHeight="1" x14ac:dyDescent="0.25">
      <c r="B22" s="134">
        <f>B20/B21</f>
        <v>4.1150931050464839E-3</v>
      </c>
      <c r="C22" s="135">
        <f>C20/C21</f>
        <v>0.10907075058224219</v>
      </c>
      <c r="D22" s="135">
        <f>D20/D21</f>
        <v>0.309536287289225</v>
      </c>
      <c r="E22" s="136">
        <f>E20/E21</f>
        <v>0.59216196053670589</v>
      </c>
      <c r="F22" s="54" t="s">
        <v>545</v>
      </c>
      <c r="G22" s="303" t="s">
        <v>191</v>
      </c>
      <c r="H22" s="303"/>
      <c r="I22" s="303"/>
      <c r="J22" s="303"/>
      <c r="K22" s="303"/>
      <c r="L22" s="303"/>
      <c r="M22" s="303"/>
      <c r="N22" s="303"/>
    </row>
    <row r="23" spans="2:22" ht="54.75" customHeight="1" x14ac:dyDescent="0.25">
      <c r="B23" s="166">
        <f>('LEAP Region'!H24+'LEAP Region'!H25+'LEAP Region'!H27+'LEAP Region'!H28)*1000</f>
        <v>8534.2480620155038</v>
      </c>
      <c r="C23" s="167">
        <f>('LEAP Region'!I24+'LEAP Region'!I25+'LEAP Region'!I27+'LEAP Region'!I28)*1000</f>
        <v>6122.9922480620153</v>
      </c>
      <c r="D23" s="167">
        <f>('LEAP Region'!J24+'LEAP Region'!J25+'LEAP Region'!J27+'LEAP Region'!J28)*1000</f>
        <v>3497.0697674418607</v>
      </c>
      <c r="E23" s="168">
        <f>('LEAP Region'!K24+'LEAP Region'!K25+'LEAP Region'!K27+'LEAP Region'!K28)*1000</f>
        <v>486.74418604651157</v>
      </c>
      <c r="G23" s="301" t="s">
        <v>470</v>
      </c>
      <c r="H23" s="301"/>
      <c r="I23" s="301"/>
      <c r="J23" s="301"/>
      <c r="K23" s="301"/>
      <c r="L23" s="301"/>
      <c r="M23" s="301"/>
      <c r="N23" s="301"/>
    </row>
    <row r="24" spans="2:22" ht="54.75" customHeight="1" x14ac:dyDescent="0.25">
      <c r="B24" s="158">
        <f>res_share_state_target*('LEAP Statewide'!H25+'LEAP Statewide'!H28)*1000000/'2.Trans Targets'!B23</f>
        <v>0.12047528891144013</v>
      </c>
      <c r="C24" s="145">
        <f>res_share_state_target*('LEAP Statewide'!I25+'LEAP Statewide'!I28)*1000000/'2.Trans Targets'!C23</f>
        <v>0.12593916004531608</v>
      </c>
      <c r="D24" s="145">
        <f>res_share_state_target*('LEAP Statewide'!J25+'LEAP Statewide'!J28)*1000000/'2.Trans Targets'!D23</f>
        <v>0.1470039303312683</v>
      </c>
      <c r="E24" s="159">
        <f>res_share_state_target*('LEAP Statewide'!K25+'LEAP Statewide'!K28)*1000000/'2.Trans Targets'!E23</f>
        <v>0.52808334972847926</v>
      </c>
      <c r="G24" s="301" t="s">
        <v>192</v>
      </c>
      <c r="H24" s="301"/>
      <c r="I24" s="301"/>
      <c r="J24" s="301"/>
      <c r="K24" s="301"/>
      <c r="L24" s="301"/>
      <c r="M24" s="301"/>
      <c r="N24" s="30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301" t="s">
        <v>193</v>
      </c>
      <c r="H25" s="301"/>
      <c r="I25" s="301"/>
      <c r="J25" s="301"/>
      <c r="K25" s="301"/>
      <c r="L25" s="301"/>
      <c r="M25" s="301"/>
      <c r="N25" s="301"/>
    </row>
    <row r="26" spans="2:22" ht="54.75" customHeight="1" x14ac:dyDescent="0.25">
      <c r="B26" s="128">
        <f>IF($F$22="adj",'1.Current Trans'!$O$13*B23/B25,B23/B25)</f>
        <v>127.32378337051712</v>
      </c>
      <c r="C26" s="129">
        <f>IF($F$22="adj",'1.Current Trans'!$O$13*C23/C25,C23/C25)</f>
        <v>106.82797981467938</v>
      </c>
      <c r="D26" s="129">
        <f>IF($F$22="adj",'1.Current Trans'!$O$13*D23/D25,D23/D25)</f>
        <v>73.460403272678008</v>
      </c>
      <c r="E26" s="130">
        <f>IF($F$22="adj",'1.Current Trans'!$O$13*E23/E25,E23/E25)</f>
        <v>12.845131643132952</v>
      </c>
      <c r="G26" s="303" t="s">
        <v>107</v>
      </c>
      <c r="H26" s="303"/>
      <c r="I26" s="303"/>
      <c r="J26" s="303"/>
      <c r="K26" s="303"/>
      <c r="L26" s="303"/>
      <c r="M26" s="303"/>
      <c r="N26" s="303"/>
    </row>
    <row r="27" spans="2:22" ht="54.75" customHeight="1" x14ac:dyDescent="0.25">
      <c r="B27" s="134">
        <f>B26/B21</f>
        <v>0.994717057582165</v>
      </c>
      <c r="C27" s="135">
        <f>C26/C21</f>
        <v>0.74186097093527348</v>
      </c>
      <c r="D27" s="135">
        <f>D26/D21</f>
        <v>0.45345927946097536</v>
      </c>
      <c r="E27" s="136">
        <f>E26/E21</f>
        <v>7.0480832061086157E-2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29953.488372093023</v>
      </c>
      <c r="C5" s="172">
        <f>'LEAP Region'!C49*1000000</f>
        <v>139782.94573643414</v>
      </c>
      <c r="D5" s="172">
        <f>'LEAP Region'!D49*1000000</f>
        <v>219658.91472868217</v>
      </c>
      <c r="E5" s="173">
        <f>'LEAP Region'!E49*1000000</f>
        <v>322000</v>
      </c>
      <c r="G5" s="301" t="s">
        <v>186</v>
      </c>
      <c r="H5" s="301"/>
      <c r="I5" s="301"/>
      <c r="J5" s="301"/>
      <c r="K5" s="301"/>
      <c r="L5" s="301"/>
      <c r="M5" s="301"/>
      <c r="N5" s="301"/>
    </row>
    <row r="6" spans="2:14" s="126" customFormat="1" ht="45" customHeight="1" x14ac:dyDescent="0.2">
      <c r="B6" s="304">
        <v>400</v>
      </c>
      <c r="C6" s="305"/>
      <c r="D6" s="305"/>
      <c r="E6" s="306"/>
      <c r="G6" s="301" t="s">
        <v>475</v>
      </c>
      <c r="H6" s="301"/>
      <c r="I6" s="301"/>
      <c r="J6" s="301"/>
      <c r="K6" s="301"/>
      <c r="L6" s="301"/>
      <c r="M6" s="301"/>
      <c r="N6" s="301"/>
    </row>
    <row r="7" spans="2:14" s="126" customFormat="1" ht="45" customHeight="1" x14ac:dyDescent="0.2">
      <c r="B7" s="171">
        <f>B5/13/$B$6</f>
        <v>5.7602862254025045</v>
      </c>
      <c r="C7" s="172">
        <f>C5/13/$B$6</f>
        <v>26.881335718545024</v>
      </c>
      <c r="D7" s="172">
        <f>D5/13/$B$6</f>
        <v>42.242098986285036</v>
      </c>
      <c r="E7" s="172">
        <f>E5/13/$B$6</f>
        <v>61.923076923076927</v>
      </c>
      <c r="G7" s="301" t="s">
        <v>185</v>
      </c>
      <c r="H7" s="301"/>
      <c r="I7" s="301"/>
      <c r="J7" s="301"/>
      <c r="K7" s="301"/>
      <c r="L7" s="301"/>
      <c r="M7" s="301"/>
      <c r="N7" s="301"/>
    </row>
    <row r="8" spans="2:14" s="126" customFormat="1" ht="45" customHeight="1" x14ac:dyDescent="0.2">
      <c r="B8" s="36">
        <f>'2.Heat Targets'!B31*1.5</f>
        <v>114</v>
      </c>
      <c r="C8" s="36">
        <f>'2.Heat Targets'!C31*1.5</f>
        <v>120.84</v>
      </c>
      <c r="D8" s="36">
        <f>'2.Heat Targets'!D31*1.5</f>
        <v>128.09040000000002</v>
      </c>
      <c r="E8" s="36">
        <f>'2.Heat Targets'!E31*1.5</f>
        <v>135.775824</v>
      </c>
      <c r="G8" s="301" t="s">
        <v>187</v>
      </c>
      <c r="H8" s="301"/>
      <c r="I8" s="301"/>
      <c r="J8" s="301"/>
      <c r="K8" s="301"/>
      <c r="L8" s="301"/>
      <c r="M8" s="301"/>
      <c r="N8" s="301"/>
    </row>
    <row r="9" spans="2:14" s="126" customFormat="1" ht="45" customHeight="1" x14ac:dyDescent="0.2">
      <c r="B9" s="174">
        <f>B7/B8</f>
        <v>5.0528826538618461E-2</v>
      </c>
      <c r="C9" s="175">
        <f>C7/C8</f>
        <v>0.22245395331467249</v>
      </c>
      <c r="D9" s="175">
        <f>D7/D8</f>
        <v>0.32978348874142815</v>
      </c>
      <c r="E9" s="176">
        <f>E7/E8</f>
        <v>0.45606850394129761</v>
      </c>
      <c r="G9" s="301" t="s">
        <v>188</v>
      </c>
      <c r="H9" s="301"/>
      <c r="I9" s="301"/>
      <c r="J9" s="301"/>
      <c r="K9" s="301"/>
      <c r="L9" s="301"/>
      <c r="M9" s="301"/>
      <c r="N9" s="30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22" zoomScale="70" zoomScaleNormal="70" workbookViewId="0">
      <selection activeCell="E50" sqref="E50"/>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1.7000000000000001E-2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238.00000000000003</v>
      </c>
      <c r="O19" s="224">
        <f>I4*$R$16*1000</f>
        <v>850.00000000000011</v>
      </c>
      <c r="P19" s="224">
        <f>J4*$R$16*1000</f>
        <v>1394.0000000000002</v>
      </c>
      <c r="Q19" s="224">
        <f>K4*$R$16*1000</f>
        <v>2159.0000000000005</v>
      </c>
    </row>
    <row r="20" spans="1:17" x14ac:dyDescent="0.25">
      <c r="B20" s="21"/>
      <c r="C20" s="21"/>
      <c r="D20" s="21"/>
      <c r="E20" s="21"/>
      <c r="H20" s="23"/>
      <c r="I20" s="23"/>
      <c r="J20" s="23"/>
      <c r="K20" s="23"/>
      <c r="L20" s="22"/>
      <c r="M20" s="222" t="s">
        <v>3</v>
      </c>
      <c r="N20" s="224">
        <f t="shared" ref="N20:N28" si="0">H5*$R$16*1000</f>
        <v>31603</v>
      </c>
      <c r="O20" s="224">
        <f t="shared" ref="O20:O28" si="1">I5*$R$16*1000</f>
        <v>24990.000000000004</v>
      </c>
      <c r="P20" s="224">
        <f t="shared" ref="P20:P28" si="2">J5*$R$16*1000</f>
        <v>19176.000000000004</v>
      </c>
      <c r="Q20" s="224">
        <f t="shared" ref="Q20:Q28" si="3">K5*$R$16*1000</f>
        <v>12750.000000000002</v>
      </c>
    </row>
    <row r="21" spans="1:17" x14ac:dyDescent="0.25">
      <c r="L21" s="22"/>
      <c r="M21" s="222" t="s">
        <v>548</v>
      </c>
      <c r="N21" s="224">
        <f t="shared" si="0"/>
        <v>3519</v>
      </c>
      <c r="O21" s="224">
        <f t="shared" si="1"/>
        <v>3179.0000000000005</v>
      </c>
      <c r="P21" s="224">
        <f t="shared" si="2"/>
        <v>1734.0000000000002</v>
      </c>
      <c r="Q21" s="224">
        <f t="shared" si="3"/>
        <v>527</v>
      </c>
    </row>
    <row r="22" spans="1:17" ht="33.75" customHeight="1" x14ac:dyDescent="0.25">
      <c r="A22" s="231" t="s">
        <v>472</v>
      </c>
      <c r="B22" s="232"/>
      <c r="C22" s="232"/>
      <c r="D22" s="232"/>
      <c r="E22" s="233"/>
      <c r="G22" s="231" t="s">
        <v>473</v>
      </c>
      <c r="H22" s="232"/>
      <c r="I22" s="232"/>
      <c r="J22" s="232"/>
      <c r="K22" s="233"/>
      <c r="L22" s="22"/>
      <c r="M22" s="222" t="s">
        <v>5</v>
      </c>
      <c r="N22" s="224">
        <f t="shared" si="0"/>
        <v>391</v>
      </c>
      <c r="O22" s="224">
        <f t="shared" si="1"/>
        <v>1870</v>
      </c>
      <c r="P22" s="224">
        <f t="shared" si="2"/>
        <v>3825</v>
      </c>
      <c r="Q22" s="224">
        <f t="shared" si="3"/>
        <v>4590.0000000000009</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272</v>
      </c>
      <c r="O23" s="224">
        <f t="shared" si="1"/>
        <v>782</v>
      </c>
      <c r="P23" s="224">
        <f t="shared" si="2"/>
        <v>1530</v>
      </c>
      <c r="Q23" s="224">
        <f t="shared" si="3"/>
        <v>2142.0000000000005</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2040</v>
      </c>
      <c r="O24" s="224">
        <f t="shared" si="1"/>
        <v>2363</v>
      </c>
      <c r="P24" s="224">
        <f t="shared" si="2"/>
        <v>2737</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12019</v>
      </c>
      <c r="O25" s="224">
        <f t="shared" si="1"/>
        <v>9401</v>
      </c>
      <c r="P25" s="224">
        <f t="shared" si="2"/>
        <v>6018.0000000000009</v>
      </c>
      <c r="Q25" s="224">
        <f t="shared" si="3"/>
        <v>2108</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28798</v>
      </c>
      <c r="O27" s="224">
        <f t="shared" si="1"/>
        <v>19346</v>
      </c>
      <c r="P27" s="224">
        <f t="shared" si="2"/>
        <v>10217</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5372.0000000000009</v>
      </c>
      <c r="O28" s="224">
        <f t="shared" si="1"/>
        <v>6001</v>
      </c>
      <c r="P28" s="224">
        <f t="shared" si="2"/>
        <v>5389</v>
      </c>
      <c r="Q28" s="224">
        <f t="shared" si="3"/>
        <v>5032</v>
      </c>
    </row>
    <row r="29" spans="1:17" x14ac:dyDescent="0.25">
      <c r="A29" s="6" t="s">
        <v>24</v>
      </c>
      <c r="B29" s="18">
        <v>0</v>
      </c>
      <c r="C29" s="18">
        <v>0</v>
      </c>
      <c r="D29" s="18">
        <v>0</v>
      </c>
      <c r="E29" s="19">
        <v>0</v>
      </c>
      <c r="G29" s="1" t="s">
        <v>24</v>
      </c>
      <c r="H29" s="4">
        <v>0</v>
      </c>
      <c r="I29" s="4">
        <v>0</v>
      </c>
      <c r="J29" s="4">
        <v>0</v>
      </c>
      <c r="K29" s="5">
        <v>0</v>
      </c>
      <c r="M29" s="222" t="s">
        <v>550</v>
      </c>
      <c r="N29" s="225">
        <f>(B14-H14)*$R$16*1000</f>
        <v>2227.0000000000005</v>
      </c>
      <c r="O29" s="225">
        <f t="shared" ref="O29:Q29" si="4">(C14-I14)*$R$16*1000</f>
        <v>3723.0000000000005</v>
      </c>
      <c r="P29" s="225">
        <f t="shared" si="4"/>
        <v>7888.0000000000009</v>
      </c>
      <c r="Q29" s="225">
        <f t="shared" si="4"/>
        <v>11577</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1.9E-2</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152</v>
      </c>
      <c r="O51" s="223">
        <f t="shared" ref="O51:Q57" si="5">U4*$Q$48*1000</f>
        <v>930.99999999999989</v>
      </c>
      <c r="P51" s="223">
        <f t="shared" si="5"/>
        <v>1748</v>
      </c>
      <c r="Q51" s="223">
        <f t="shared" si="5"/>
        <v>3116</v>
      </c>
    </row>
    <row r="52" spans="1:17" x14ac:dyDescent="0.25">
      <c r="M52" s="223" t="s">
        <v>14</v>
      </c>
      <c r="N52" s="223">
        <f t="shared" ref="N52:N57" si="6">T5*$Q$48*1000</f>
        <v>7752</v>
      </c>
      <c r="O52" s="223">
        <f t="shared" si="5"/>
        <v>5776</v>
      </c>
      <c r="P52" s="223">
        <f t="shared" si="5"/>
        <v>3553</v>
      </c>
      <c r="Q52" s="223">
        <f t="shared" si="5"/>
        <v>19</v>
      </c>
    </row>
    <row r="53" spans="1:17" x14ac:dyDescent="0.25">
      <c r="M53" s="223" t="s">
        <v>15</v>
      </c>
      <c r="N53" s="223">
        <f t="shared" si="6"/>
        <v>14136</v>
      </c>
      <c r="O53" s="223">
        <f t="shared" si="5"/>
        <v>14003</v>
      </c>
      <c r="P53" s="223">
        <f t="shared" si="5"/>
        <v>13565.999999999998</v>
      </c>
      <c r="Q53" s="223">
        <f t="shared" si="5"/>
        <v>13148</v>
      </c>
    </row>
    <row r="54" spans="1:17" x14ac:dyDescent="0.25">
      <c r="M54" s="223" t="s">
        <v>8</v>
      </c>
      <c r="N54" s="223">
        <f t="shared" si="6"/>
        <v>5681</v>
      </c>
      <c r="O54" s="223">
        <f t="shared" si="5"/>
        <v>4902</v>
      </c>
      <c r="P54" s="223">
        <f t="shared" si="5"/>
        <v>3971</v>
      </c>
      <c r="Q54" s="223">
        <f t="shared" si="5"/>
        <v>2527</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797.99999999999989</v>
      </c>
      <c r="O56" s="223">
        <f t="shared" si="5"/>
        <v>589</v>
      </c>
      <c r="P56" s="223">
        <f t="shared" si="5"/>
        <v>361</v>
      </c>
      <c r="Q56" s="223">
        <f t="shared" si="5"/>
        <v>0</v>
      </c>
    </row>
    <row r="57" spans="1:17" x14ac:dyDescent="0.25">
      <c r="M57" s="223" t="s">
        <v>17</v>
      </c>
      <c r="N57" s="223">
        <f t="shared" si="6"/>
        <v>2679</v>
      </c>
      <c r="O57" s="223">
        <f t="shared" si="5"/>
        <v>3667</v>
      </c>
      <c r="P57" s="223">
        <f t="shared" si="5"/>
        <v>4636</v>
      </c>
      <c r="Q57" s="223">
        <f t="shared" si="5"/>
        <v>6308</v>
      </c>
    </row>
    <row r="58" spans="1:17" x14ac:dyDescent="0.25">
      <c r="M58" s="223" t="s">
        <v>550</v>
      </c>
      <c r="N58" s="223">
        <f>(N11-T11)*$Q$48*1000</f>
        <v>266</v>
      </c>
      <c r="O58" s="223">
        <f>(O11-U11)*$Q$48*1000</f>
        <v>1653</v>
      </c>
      <c r="P58" s="223">
        <f t="shared" ref="P58:Q58" si="7">(P11-V11)*$Q$48*1000</f>
        <v>3135</v>
      </c>
      <c r="Q58" s="223">
        <f t="shared" si="7"/>
        <v>5567</v>
      </c>
    </row>
    <row r="60" spans="1:17" ht="15.75" thickBot="1" x14ac:dyDescent="0.3"/>
    <row r="61" spans="1:17" ht="15.75" thickBot="1" x14ac:dyDescent="0.3">
      <c r="N61" t="s">
        <v>572</v>
      </c>
      <c r="Q61" s="229">
        <v>1.9E-2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55537</v>
      </c>
      <c r="O64" s="223">
        <f t="shared" ref="O64:Q68" si="8">I24*$Q$61*1000</f>
        <v>39786</v>
      </c>
      <c r="P64" s="223">
        <f t="shared" si="8"/>
        <v>22154</v>
      </c>
      <c r="Q64" s="223">
        <f t="shared" si="8"/>
        <v>1728.9999999999998</v>
      </c>
    </row>
    <row r="65" spans="13:17" x14ac:dyDescent="0.25">
      <c r="M65" s="223" t="s">
        <v>22</v>
      </c>
      <c r="N65" s="223">
        <f t="shared" ref="N65:N68" si="9">H25*$Q$61*1000</f>
        <v>7410</v>
      </c>
      <c r="O65" s="223">
        <f t="shared" si="8"/>
        <v>4939.9999999999991</v>
      </c>
      <c r="P65" s="223">
        <f t="shared" si="8"/>
        <v>2679</v>
      </c>
      <c r="Q65" s="223">
        <f t="shared" si="8"/>
        <v>304</v>
      </c>
    </row>
    <row r="66" spans="13:17" x14ac:dyDescent="0.25">
      <c r="M66" s="223" t="s">
        <v>23</v>
      </c>
      <c r="N66" s="223">
        <f t="shared" si="9"/>
        <v>56.999999999999993</v>
      </c>
      <c r="O66" s="223">
        <f t="shared" si="8"/>
        <v>1558</v>
      </c>
      <c r="P66" s="223">
        <f t="shared" si="8"/>
        <v>4522</v>
      </c>
      <c r="Q66" s="223">
        <f t="shared" si="8"/>
        <v>8759</v>
      </c>
    </row>
    <row r="67" spans="13:17" x14ac:dyDescent="0.25">
      <c r="M67" s="223" t="s">
        <v>20</v>
      </c>
      <c r="N67" s="223">
        <f t="shared" si="9"/>
        <v>1861.9999999999998</v>
      </c>
      <c r="O67" s="223">
        <f t="shared" si="8"/>
        <v>1159</v>
      </c>
      <c r="P67" s="223">
        <f t="shared" si="8"/>
        <v>627</v>
      </c>
      <c r="Q67" s="223">
        <f t="shared" si="8"/>
        <v>19</v>
      </c>
    </row>
    <row r="68" spans="13:17" x14ac:dyDescent="0.25">
      <c r="M68" s="223" t="s">
        <v>18</v>
      </c>
      <c r="N68" s="223">
        <f t="shared" si="9"/>
        <v>152</v>
      </c>
      <c r="O68" s="223">
        <f t="shared" si="8"/>
        <v>722</v>
      </c>
      <c r="P68" s="223">
        <f t="shared" si="8"/>
        <v>1159</v>
      </c>
      <c r="Q68" s="223">
        <f t="shared" si="8"/>
        <v>1653</v>
      </c>
    </row>
    <row r="69" spans="13:17" x14ac:dyDescent="0.25">
      <c r="M69" s="230" t="s">
        <v>550</v>
      </c>
      <c r="O69">
        <f t="shared" ref="O69:Q69" si="10">(C30-I30)*$Q$61*1000</f>
        <v>5016</v>
      </c>
      <c r="P69">
        <f t="shared" si="10"/>
        <v>14516</v>
      </c>
      <c r="Q69">
        <f t="shared" si="10"/>
        <v>26258</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2017-05-16T15:39:10Z</dcterms:modified>
</cp:coreProperties>
</file>