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St. Johnsbury\"/>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G8" i="201"/>
  <c r="G20" i="201"/>
  <c r="E24" i="201"/>
  <c r="H24" i="201" s="1"/>
  <c r="G16" i="201"/>
  <c r="E30" i="201"/>
  <c r="H30" i="201" s="1"/>
  <c r="G12" i="201"/>
  <c r="E14" i="201"/>
  <c r="H14" i="201" s="1"/>
  <c r="E15" i="201"/>
  <c r="H15" i="201" s="1"/>
  <c r="E27" i="201"/>
  <c r="H27" i="201" s="1"/>
  <c r="E35" i="201"/>
  <c r="H35" i="201" s="1"/>
  <c r="E43" i="201"/>
  <c r="H43" i="201" s="1"/>
  <c r="E51" i="201"/>
  <c r="H51" i="201" s="1"/>
  <c r="H26" i="201"/>
  <c r="E49" i="201" l="1"/>
  <c r="H49" i="201" s="1"/>
  <c r="E33" i="201"/>
  <c r="H33" i="201" s="1"/>
  <c r="E11" i="201"/>
  <c r="H11" i="201" s="1"/>
  <c r="E12" i="201"/>
  <c r="E9" i="201"/>
  <c r="H9" i="201" s="1"/>
  <c r="E13" i="201"/>
  <c r="H13" i="201" s="1"/>
  <c r="E8" i="201"/>
  <c r="E53" i="201"/>
  <c r="H53" i="201" s="1"/>
  <c r="E45" i="201"/>
  <c r="H45" i="201" s="1"/>
  <c r="E37" i="201"/>
  <c r="H37" i="201" s="1"/>
  <c r="E29" i="201"/>
  <c r="H29" i="201" s="1"/>
  <c r="E19" i="201"/>
  <c r="H19" i="201" s="1"/>
  <c r="E21" i="201"/>
  <c r="H21" i="201" s="1"/>
  <c r="E38" i="201"/>
  <c r="H38" i="201" s="1"/>
  <c r="E16" i="201"/>
  <c r="H16" i="201" s="1"/>
  <c r="E32" i="201"/>
  <c r="H32" i="201" s="1"/>
  <c r="H20" i="201"/>
  <c r="E42" i="201"/>
  <c r="H42" i="201" s="1"/>
  <c r="E50" i="201"/>
  <c r="H50" i="201" s="1"/>
  <c r="E10" i="201"/>
  <c r="H10" i="201" s="1"/>
  <c r="E44" i="201"/>
  <c r="H44" i="201" s="1"/>
  <c r="E52" i="201"/>
  <c r="H52" i="201" s="1"/>
  <c r="E57" i="201"/>
  <c r="H57" i="201" s="1"/>
  <c r="E41" i="201"/>
  <c r="H41" i="201" s="1"/>
  <c r="E25" i="201"/>
  <c r="H25" i="201" s="1"/>
  <c r="E36" i="201"/>
  <c r="H36" i="201" s="1"/>
  <c r="E22" i="201"/>
  <c r="H22" i="201" s="1"/>
  <c r="E46" i="201"/>
  <c r="H46" i="201" s="1"/>
  <c r="E54" i="201"/>
  <c r="H54" i="201" s="1"/>
  <c r="E17" i="201"/>
  <c r="H17" i="201" s="1"/>
  <c r="E55" i="201"/>
  <c r="H55" i="201" s="1"/>
  <c r="E47" i="201"/>
  <c r="H47" i="201" s="1"/>
  <c r="E39" i="201"/>
  <c r="H39" i="201" s="1"/>
  <c r="E31" i="201"/>
  <c r="H31" i="201" s="1"/>
  <c r="E23" i="201"/>
  <c r="H23" i="201" s="1"/>
  <c r="E28" i="201"/>
  <c r="H28" i="201" s="1"/>
  <c r="E18" i="201"/>
  <c r="H18" i="201" s="1"/>
  <c r="E40" i="201"/>
  <c r="H40" i="201" s="1"/>
  <c r="E20" i="201"/>
  <c r="E48" i="201"/>
  <c r="H48" i="201" s="1"/>
  <c r="E56" i="201"/>
  <c r="H56" i="201" s="1"/>
  <c r="E34" i="201"/>
  <c r="H34" i="201" s="1"/>
  <c r="H12" i="201"/>
  <c r="H8" i="201"/>
  <c r="H58" i="201" l="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88" i="197"/>
  <c r="T96" i="197"/>
  <c r="AE120" i="197"/>
  <c r="AA124" i="197"/>
  <c r="AB140" i="197"/>
  <c r="W144" i="197"/>
  <c r="AE152" i="197"/>
  <c r="AA156" i="197"/>
  <c r="AB168" i="197"/>
  <c r="AB172" i="197"/>
  <c r="T180" i="197"/>
  <c r="AE180" i="197"/>
  <c r="V188" i="197"/>
  <c r="AD188" i="197"/>
  <c r="AD196" i="197"/>
  <c r="Y200" i="197"/>
  <c r="Y208" i="197"/>
  <c r="V212" i="197"/>
  <c r="V220" i="197"/>
  <c r="AD220" i="197"/>
  <c r="AD228" i="197"/>
  <c r="Y232" i="197"/>
  <c r="AD236" i="197"/>
  <c r="X237" i="197"/>
  <c r="V244" i="197"/>
  <c r="AB244" i="197"/>
  <c r="AC248" i="197"/>
  <c r="R12" i="197"/>
  <c r="R60" i="197"/>
  <c r="R76"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230" i="197" s="1"/>
  <c r="AH246" i="197"/>
  <c r="AH108" i="197"/>
  <c r="AH60" i="197"/>
  <c r="AH155" i="197"/>
  <c r="AH18" i="197"/>
  <c r="AH168" i="197"/>
  <c r="AH7" i="197"/>
  <c r="AH190" i="197"/>
  <c r="AH117" i="197"/>
  <c r="AH148" i="197"/>
  <c r="AH179" i="197"/>
  <c r="AH177" i="197"/>
  <c r="AH198" i="197"/>
  <c r="AH220" i="197"/>
  <c r="AH107" i="197"/>
  <c r="AH59" i="197"/>
  <c r="AH114" i="197"/>
  <c r="AH137" i="197"/>
  <c r="AH104" i="197"/>
  <c r="AH199" i="197"/>
  <c r="AH55" i="197"/>
  <c r="AH213" i="197"/>
  <c r="AH133" i="197"/>
  <c r="AH85" i="197"/>
  <c r="AH116" i="197"/>
  <c r="AH36" i="197"/>
  <c r="AH211" i="197"/>
  <c r="AH115" i="197"/>
  <c r="AH138" i="197"/>
  <c r="AH42" i="197"/>
  <c r="AH234" i="197"/>
  <c r="AH96" i="197"/>
  <c r="AH16" i="197"/>
  <c r="AH175" i="197"/>
  <c r="AH31" i="197"/>
  <c r="AH205" i="197"/>
  <c r="AH45"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5" i="186"/>
  <c r="F28" i="186"/>
  <c r="E41" i="186"/>
  <c r="F38" i="186" s="1"/>
  <c r="F27" i="186" l="1"/>
  <c r="F33" i="186"/>
  <c r="F40" i="186"/>
  <c r="AH141" i="197"/>
  <c r="AH79" i="197"/>
  <c r="AH64" i="197"/>
  <c r="AH129" i="197"/>
  <c r="AH35" i="197"/>
  <c r="AH4" i="197"/>
  <c r="AH37" i="197"/>
  <c r="AH181" i="197"/>
  <c r="AH87" i="197"/>
  <c r="AH9" i="197"/>
  <c r="AH226" i="197"/>
  <c r="AH171" i="197"/>
  <c r="F29" i="186"/>
  <c r="F37" i="186"/>
  <c r="AH13" i="197"/>
  <c r="AH86" i="197"/>
  <c r="AH191" i="197"/>
  <c r="AH112" i="197"/>
  <c r="AH58" i="197"/>
  <c r="AH147" i="197"/>
  <c r="AH52" i="197"/>
  <c r="AH101" i="197"/>
  <c r="AH23" i="197"/>
  <c r="AH56" i="197"/>
  <c r="AH82" i="197"/>
  <c r="AH91" i="197"/>
  <c r="F32" i="186"/>
  <c r="F39"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31" i="194"/>
  <c r="H12" i="194"/>
  <c r="E91" i="194" s="1"/>
  <c r="H2" i="194"/>
  <c r="E32" i="194" s="1"/>
  <c r="E225" i="194"/>
  <c r="E209" i="194"/>
  <c r="E173" i="194"/>
  <c r="E101"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69" i="194" l="1"/>
  <c r="E193" i="194"/>
  <c r="E237" i="194"/>
  <c r="E47" i="194"/>
  <c r="E121" i="194"/>
  <c r="E213" i="194"/>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C26" i="189" s="1"/>
  <c r="K34" i="193"/>
  <c r="D63" i="188"/>
  <c r="K43" i="193" s="1"/>
  <c r="C63" i="188"/>
  <c r="J43" i="193" s="1"/>
  <c r="J34" i="193"/>
  <c r="D57" i="188"/>
  <c r="C57" i="188"/>
  <c r="D66" i="188"/>
  <c r="D60" i="188"/>
  <c r="L27" i="193"/>
  <c r="E32" i="188"/>
  <c r="C66" i="188"/>
  <c r="C60" i="188"/>
  <c r="D25" i="189" l="1"/>
  <c r="D26" i="189" s="1"/>
  <c r="C27" i="189"/>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7" i="189" l="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<sst xmlns="http://schemas.openxmlformats.org/spreadsheetml/2006/main" count="1627" uniqueCount="563">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</sst>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4">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7"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xf numFmtId="164" fontId="0" fillId="0" borderId="0" xfId="2" applyNumberFormat="1" applyFont="1" applyFill="1" applyBorder="1"/>
    <xf numFmtId="164" fontId="1" fillId="0" borderId="0" xfId="2" applyNumberFormat="1" applyFont="1" applyFill="1" applyBorder="1"/>
    <xf numFmtId="3" fontId="0" fillId="0" borderId="0" xfId="0" applyNumberFormat="1" applyFill="1" applyBorder="1"/>
    <xf numFmtId="1" fontId="0" fillId="0" borderId="0" xfId="0" applyNumberFormat="1" applyFill="1" applyBorder="1"/>
    <xf numFmtId="167" fontId="0" fillId="0" borderId="0" xfId="1" applyNumberFormat="1" applyFont="1" applyFill="1" applyBorder="1"/>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1" t="s">
        <v>33</v>
      </c>
      <c r="B22" s="222"/>
      <c r="C22" s="222"/>
      <c r="D22" s="222"/>
      <c r="E22" s="223"/>
      <c r="G22" s="221" t="s">
        <v>34</v>
      </c>
      <c r="H22" s="222"/>
      <c r="I22" s="222"/>
      <c r="J22" s="222"/>
      <c r="K22" s="223"/>
      <c r="M22" s="225" t="s">
        <v>35</v>
      </c>
      <c r="N22" s="226"/>
      <c r="O22" s="226"/>
      <c r="P22" s="226"/>
      <c r="Q22" s="227"/>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24" t="s">
        <v>42</v>
      </c>
      <c r="B48" s="17">
        <v>2015</v>
      </c>
      <c r="C48" s="17">
        <v>2025</v>
      </c>
      <c r="D48" s="17">
        <v>2035</v>
      </c>
      <c r="E48" s="17">
        <v>2050</v>
      </c>
    </row>
    <row r="49" spans="1:5" ht="74.25" customHeight="1" x14ac:dyDescent="0.25">
      <c r="A49" s="22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1.0397855539483811</v>
      </c>
      <c r="I4" s="4">
        <f>res_share_state_target*'LEAP Statewide'!I4</f>
        <v>6.2870754424785833</v>
      </c>
      <c r="J4" s="4">
        <f>res_share_state_target*'LEAP Statewide'!J4</f>
        <v>11.860809632829788</v>
      </c>
      <c r="K4" s="5">
        <f>res_share_state_target*'LEAP Statewide'!K4</f>
        <v>21.835496632916001</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0.72225566522606788</v>
      </c>
      <c r="U4" s="4">
        <f ca="1">com_share_state_target*'LEAP Statewide'!U4</f>
        <v>4.5158509553940558</v>
      </c>
      <c r="V4" s="4">
        <f ca="1">com_share_state_target*'LEAP Statewide'!V4</f>
        <v>8.4724796845572481</v>
      </c>
      <c r="W4" s="5">
        <f ca="1">com_share_state_target*'LEAP Statewide'!W4</f>
        <v>15.065692201341813</v>
      </c>
      <c r="Y4" s="23"/>
    </row>
    <row r="5" spans="1:25" x14ac:dyDescent="0.25">
      <c r="A5" s="1" t="s">
        <v>3</v>
      </c>
      <c r="B5" s="4">
        <f>res_share_state_target*'LEAP Statewide'!B5</f>
        <v>91.634124574125352</v>
      </c>
      <c r="C5" s="4">
        <f>res_share_state_target*'LEAP Statewide'!C5</f>
        <v>84.41607834497205</v>
      </c>
      <c r="D5" s="4">
        <f>res_share_state_target*'LEAP Statewide'!D5</f>
        <v>78.552171441891062</v>
      </c>
      <c r="E5" s="5">
        <f>res_share_state_target*'LEAP Statewide'!E5</f>
        <v>71.140676737584585</v>
      </c>
      <c r="G5" s="1" t="s">
        <v>3</v>
      </c>
      <c r="H5" s="4">
        <f>res_share_state_target*'LEAP Statewide'!H5</f>
        <v>91.912206757158046</v>
      </c>
      <c r="I5" s="4">
        <f>res_share_state_target*'LEAP Statewide'!I5</f>
        <v>86.278019918321476</v>
      </c>
      <c r="J5" s="4">
        <f>res_share_state_target*'LEAP Statewide'!J5</f>
        <v>80.547108841908312</v>
      </c>
      <c r="K5" s="5">
        <f>res_share_state_target*'LEAP Statewide'!K5</f>
        <v>76.702320398238712</v>
      </c>
      <c r="L5" s="21"/>
      <c r="M5" s="1" t="s">
        <v>14</v>
      </c>
      <c r="N5" s="4">
        <f ca="1">com_share_state_target*'LEAP Statewide'!N5</f>
        <v>67.913069104023947</v>
      </c>
      <c r="O5" s="4">
        <f ca="1">com_share_state_target*'LEAP Statewide'!O5</f>
        <v>54.870393984407578</v>
      </c>
      <c r="P5" s="4">
        <f ca="1">com_share_state_target*'LEAP Statewide'!P5</f>
        <v>39.846774928612916</v>
      </c>
      <c r="Q5" s="5">
        <f ca="1">com_share_state_target*'LEAP Statewide'!Q5</f>
        <v>16.268282944897837</v>
      </c>
      <c r="R5" s="2"/>
      <c r="S5" s="1" t="s">
        <v>14</v>
      </c>
      <c r="T5" s="4">
        <f ca="1">com_share_state_target*'LEAP Statewide'!T5</f>
        <v>67.168023818293179</v>
      </c>
      <c r="U5" s="4">
        <f ca="1">com_share_state_target*'LEAP Statewide'!U5</f>
        <v>50.240594926489997</v>
      </c>
      <c r="V5" s="4">
        <f ca="1">com_share_state_target*'LEAP Statewide'!V5</f>
        <v>31.156917325395394</v>
      </c>
      <c r="W5" s="5">
        <f ca="1">com_share_state_target*'LEAP Statewide'!W5</f>
        <v>0.81341414724489192</v>
      </c>
      <c r="Y5" s="92"/>
    </row>
    <row r="6" spans="1:25" x14ac:dyDescent="0.25">
      <c r="A6" s="1" t="s">
        <v>4</v>
      </c>
      <c r="B6" s="4">
        <f>res_share_state_target*'LEAP Statewide'!B6</f>
        <v>13.904109151635328</v>
      </c>
      <c r="C6" s="4">
        <f>res_share_state_target*'LEAP Statewide'!C6</f>
        <v>11.268373677673152</v>
      </c>
      <c r="D6" s="4">
        <f>res_share_state_target*'LEAP Statewide'!D6</f>
        <v>7.677486357642116</v>
      </c>
      <c r="E6" s="5">
        <f>res_share_state_target*'LEAP Statewide'!E6</f>
        <v>3.0347229539656237</v>
      </c>
      <c r="G6" s="1" t="s">
        <v>4</v>
      </c>
      <c r="H6" s="4">
        <f>res_share_state_target*'LEAP Statewide'!H6</f>
        <v>13.988742859514847</v>
      </c>
      <c r="I6" s="4">
        <f>res_share_state_target*'LEAP Statewide'!I6</f>
        <v>11.486003212220488</v>
      </c>
      <c r="J6" s="4">
        <f>res_share_state_target*'LEAP Statewide'!J6</f>
        <v>6.6860629224820318</v>
      </c>
      <c r="K6" s="5">
        <f>res_share_state_target*'LEAP Statewide'!K6</f>
        <v>2.1642048157762814</v>
      </c>
      <c r="L6" s="21"/>
      <c r="M6" s="1" t="s">
        <v>15</v>
      </c>
      <c r="N6" s="89">
        <f ca="1">com_share_state_target*'LEAP Statewide'!N6</f>
        <v>124.78193750192113</v>
      </c>
      <c r="O6" s="89">
        <f ca="1">com_share_state_target*'LEAP Statewide'!O6</f>
        <v>126.07919282295825</v>
      </c>
      <c r="P6" s="89">
        <f ca="1">com_share_state_target*'LEAP Statewide'!P6</f>
        <v>124.90465084310033</v>
      </c>
      <c r="Q6" s="90">
        <f ca="1">com_share_state_target*'LEAP Statewide'!Q6</f>
        <v>125.48315659437363</v>
      </c>
      <c r="R6" s="4"/>
      <c r="S6" s="1" t="s">
        <v>15</v>
      </c>
      <c r="T6" s="89">
        <f ca="1">com_share_state_target*'LEAP Statewide'!T6</f>
        <v>124.78018445418999</v>
      </c>
      <c r="U6" s="89">
        <f ca="1">com_share_state_target*'LEAP Statewide'!U6</f>
        <v>126.07393367976485</v>
      </c>
      <c r="V6" s="89">
        <f ca="1">com_share_state_target*'LEAP Statewide'!V6</f>
        <v>124.8976386521758</v>
      </c>
      <c r="W6" s="90">
        <f ca="1">com_share_state_target*'LEAP Statewide'!W6</f>
        <v>125.49016878529815</v>
      </c>
      <c r="Y6" s="92"/>
    </row>
    <row r="7" spans="1:25" x14ac:dyDescent="0.25">
      <c r="A7" s="1" t="s">
        <v>5</v>
      </c>
      <c r="B7" s="4">
        <f>res_share_state_target*'LEAP Statewide'!B7</f>
        <v>1.402501444860607</v>
      </c>
      <c r="C7" s="4">
        <f>res_share_state_target*'LEAP Statewide'!C7</f>
        <v>7.8951158921894509</v>
      </c>
      <c r="D7" s="4">
        <f>res_share_state_target*'LEAP Statewide'!D7</f>
        <v>14.883442057098337</v>
      </c>
      <c r="E7" s="5">
        <f>res_share_state_target*'LEAP Statewide'!E7</f>
        <v>20.529719425631988</v>
      </c>
      <c r="G7" s="1" t="s">
        <v>5</v>
      </c>
      <c r="H7" s="4">
        <f>res_share_state_target*'LEAP Statewide'!H7</f>
        <v>2.4543775285060621</v>
      </c>
      <c r="I7" s="4">
        <f>res_share_state_target*'LEAP Statewide'!I7</f>
        <v>13.746932265573363</v>
      </c>
      <c r="J7" s="4">
        <f>res_share_state_target*'LEAP Statewide'!J7</f>
        <v>26.550803214774938</v>
      </c>
      <c r="K7" s="5">
        <f>res_share_state_target*'LEAP Statewide'!K7</f>
        <v>36.573852333649448</v>
      </c>
      <c r="M7" s="1" t="s">
        <v>8</v>
      </c>
      <c r="N7" s="4">
        <f ca="1">com_share_state_target*'LEAP Statewide'!N7</f>
        <v>50.785792770871808</v>
      </c>
      <c r="O7" s="4">
        <f ca="1">com_share_state_target*'LEAP Statewide'!O7</f>
        <v>52.153170001154166</v>
      </c>
      <c r="P7" s="4">
        <f ca="1">com_share_state_target*'LEAP Statewide'!P7</f>
        <v>52.53884050200304</v>
      </c>
      <c r="Q7" s="5">
        <f ca="1">com_share_state_target*'LEAP Statewide'!Q7</f>
        <v>54.239296801200339</v>
      </c>
      <c r="R7" s="4"/>
      <c r="S7" s="1" t="s">
        <v>8</v>
      </c>
      <c r="T7" s="4">
        <f ca="1">com_share_state_target*'LEAP Statewide'!T7</f>
        <v>49.350046679075326</v>
      </c>
      <c r="U7" s="4">
        <f ca="1">com_share_state_target*'LEAP Statewide'!U7</f>
        <v>43.119715042634922</v>
      </c>
      <c r="V7" s="4">
        <f ca="1">com_share_state_target*'LEAP Statewide'!V7</f>
        <v>35.597387228350804</v>
      </c>
      <c r="W7" s="5">
        <f ca="1">com_share_state_target*'LEAP Statewide'!W7</f>
        <v>24.104406303054446</v>
      </c>
      <c r="Y7" s="92"/>
    </row>
    <row r="8" spans="1:25" x14ac:dyDescent="0.25">
      <c r="A8" s="1" t="s">
        <v>6</v>
      </c>
      <c r="B8" s="4">
        <f>res_share_state_target*'LEAP Statewide'!B8</f>
        <v>0.15717688606196456</v>
      </c>
      <c r="C8" s="4">
        <f>res_share_state_target*'LEAP Statewide'!C8</f>
        <v>1.1606908509191229</v>
      </c>
      <c r="D8" s="4">
        <f>res_share_state_target*'LEAP Statewide'!D8</f>
        <v>3.9536032109432626</v>
      </c>
      <c r="E8" s="5">
        <f>res_share_state_target*'LEAP Statewide'!E8</f>
        <v>8.2094696643133798</v>
      </c>
      <c r="G8" s="1" t="s">
        <v>6</v>
      </c>
      <c r="H8" s="4">
        <f>res_share_state_target*'LEAP Statewide'!H8</f>
        <v>0.67706966303615512</v>
      </c>
      <c r="I8" s="4">
        <f>res_share_state_target*'LEAP Statewide'!I8</f>
        <v>4.207504334581821</v>
      </c>
      <c r="J8" s="4">
        <f>res_share_state_target*'LEAP Statewide'!J8</f>
        <v>9.1525309806851673</v>
      </c>
      <c r="K8" s="5">
        <f>res_share_state_target*'LEAP Statewide'!K8</f>
        <v>15.185705299525193</v>
      </c>
      <c r="M8" s="1" t="s">
        <v>9</v>
      </c>
      <c r="N8" s="4">
        <f ca="1">com_share_state_target*'LEAP Statewide'!N8</f>
        <v>48.927562175872701</v>
      </c>
      <c r="O8" s="4">
        <f ca="1">com_share_state_target*'LEAP Statewide'!O8</f>
        <v>59.428318085348785</v>
      </c>
      <c r="P8" s="4">
        <f ca="1">com_share_state_target*'LEAP Statewide'!P8</f>
        <v>69.43822063010812</v>
      </c>
      <c r="Q8" s="5">
        <f ca="1">com_share_state_target*'LEAP Statewide'!Q8</f>
        <v>87.073880805288326</v>
      </c>
      <c r="R8" s="4"/>
      <c r="S8" s="1" t="s">
        <v>9</v>
      </c>
      <c r="T8" s="4">
        <f ca="1">com_share_state_target*'LEAP Statewide'!T8</f>
        <v>45.367122233945167</v>
      </c>
      <c r="U8" s="4">
        <f ca="1">com_share_state_target*'LEAP Statewide'!U8</f>
        <v>37.169871043175526</v>
      </c>
      <c r="V8" s="4">
        <f ca="1">com_share_state_target*'LEAP Statewide'!V8</f>
        <v>27.668352340444244</v>
      </c>
      <c r="W8" s="5">
        <f ca="1">com_share_state_target*'LEAP Statewide'!W8</f>
        <v>12.804260628182522</v>
      </c>
      <c r="Y8" s="23"/>
    </row>
    <row r="9" spans="1:25" x14ac:dyDescent="0.25">
      <c r="A9" s="1" t="s">
        <v>7</v>
      </c>
      <c r="B9" s="4">
        <f>res_share_state_target*'LEAP Statewide'!B9</f>
        <v>11.764085395253195</v>
      </c>
      <c r="C9" s="4">
        <f>res_share_state_target*'LEAP Statewide'!C9</f>
        <v>9.4427036934149484</v>
      </c>
      <c r="D9" s="4">
        <f>res_share_state_target*'LEAP Statewide'!D9</f>
        <v>7.2059556994562222</v>
      </c>
      <c r="E9" s="5">
        <f>res_share_state_target*'LEAP Statewide'!E9</f>
        <v>3.5667062606368884</v>
      </c>
      <c r="G9" s="1" t="s">
        <v>7</v>
      </c>
      <c r="H9" s="4">
        <f>res_share_state_target*'LEAP Statewide'!H9</f>
        <v>11.546455860705858</v>
      </c>
      <c r="I9" s="4">
        <f>res_share_state_target*'LEAP Statewide'!I9</f>
        <v>8.318284431587049</v>
      </c>
      <c r="J9" s="4">
        <f>res_share_state_target*'LEAP Statewide'!J9</f>
        <v>5.1626561806506821</v>
      </c>
      <c r="K9" s="5">
        <f>res_share_state_target*'LEAP Statewide'!K9</f>
        <v>0</v>
      </c>
      <c r="L9" s="21"/>
      <c r="M9" s="1" t="s">
        <v>16</v>
      </c>
      <c r="N9" s="4">
        <f ca="1">com_share_state_target*'LEAP Statewide'!N9</f>
        <v>6.8894775833457444</v>
      </c>
      <c r="O9" s="4">
        <f ca="1">com_share_state_target*'LEAP Statewide'!O9</f>
        <v>5.1364298522145111</v>
      </c>
      <c r="P9" s="4">
        <f ca="1">com_share_state_target*'LEAP Statewide'!P9</f>
        <v>3.1554859160362185</v>
      </c>
      <c r="Q9" s="5">
        <f ca="1">com_share_state_target*'LEAP Statewide'!Q9</f>
        <v>0</v>
      </c>
      <c r="R9" s="2"/>
      <c r="S9" s="1" t="s">
        <v>16</v>
      </c>
      <c r="T9" s="4">
        <f ca="1">com_share_state_target*'LEAP Statewide'!T9</f>
        <v>6.8842184401523498</v>
      </c>
      <c r="U9" s="4">
        <f ca="1">com_share_state_target*'LEAP Statewide'!U9</f>
        <v>5.1276646135588555</v>
      </c>
      <c r="V9" s="4">
        <f ca="1">com_share_state_target*'LEAP Statewide'!V9</f>
        <v>3.1484737251116934</v>
      </c>
      <c r="W9" s="5">
        <f ca="1">com_share_state_target*'LEAP Statewide'!W9</f>
        <v>0</v>
      </c>
      <c r="Y9" s="23"/>
    </row>
    <row r="10" spans="1:25" x14ac:dyDescent="0.25">
      <c r="A10" s="1" t="s">
        <v>8</v>
      </c>
      <c r="B10" s="4">
        <f>res_share_state_target*'LEAP Statewide'!B10</f>
        <v>67.864143189677478</v>
      </c>
      <c r="C10" s="4">
        <f>res_share_state_target*'LEAP Statewide'!C10</f>
        <v>54.37111204774267</v>
      </c>
      <c r="D10" s="4">
        <f>res_share_state_target*'LEAP Statewide'!D10</f>
        <v>40.164739653680485</v>
      </c>
      <c r="E10" s="5">
        <f>res_share_state_target*'LEAP Statewide'!E10</f>
        <v>14.496545106791963</v>
      </c>
      <c r="G10" s="1" t="s">
        <v>8</v>
      </c>
      <c r="H10" s="4">
        <f>res_share_state_target*'LEAP Statewide'!H10</f>
        <v>67.066168229670581</v>
      </c>
      <c r="I10" s="4">
        <f>res_share_state_target*'LEAP Statewide'!I10</f>
        <v>51.239664856200449</v>
      </c>
      <c r="J10" s="4">
        <f>res_share_state_target*'LEAP Statewide'!J10</f>
        <v>35.86051108152207</v>
      </c>
      <c r="K10" s="5">
        <f>res_share_state_target*'LEAP Statewide'!K10</f>
        <v>12.102620226771272</v>
      </c>
      <c r="L10" s="21"/>
      <c r="M10" s="1" t="s">
        <v>17</v>
      </c>
      <c r="N10" s="4">
        <f ca="1">com_share_state_target*'LEAP Statewide'!N10</f>
        <v>21.930627116451721</v>
      </c>
      <c r="O10" s="4">
        <f ca="1">com_share_state_target*'LEAP Statewide'!O10</f>
        <v>23.333065301356704</v>
      </c>
      <c r="P10" s="4">
        <f ca="1">com_share_state_target*'LEAP Statewide'!P10</f>
        <v>24.367363462724132</v>
      </c>
      <c r="Q10" s="5">
        <f ca="1">com_share_state_target*'LEAP Statewide'!Q10</f>
        <v>26.506081694704235</v>
      </c>
      <c r="R10" s="4"/>
      <c r="S10" s="1" t="s">
        <v>17</v>
      </c>
      <c r="T10" s="4">
        <f ca="1">com_share_state_target*'LEAP Statewide'!T10</f>
        <v>23.543431029092453</v>
      </c>
      <c r="U10" s="4">
        <f ca="1">com_share_state_target*'LEAP Statewide'!U10</f>
        <v>33.448150709983921</v>
      </c>
      <c r="V10" s="4">
        <f ca="1">com_share_state_target*'LEAP Statewide'!V10</f>
        <v>43.338846009026327</v>
      </c>
      <c r="W10" s="5">
        <f ca="1">com_share_state_target*'LEAP Statewide'!W10</f>
        <v>60.259262709904988</v>
      </c>
      <c r="Y10" s="23"/>
    </row>
    <row r="11" spans="1:25" x14ac:dyDescent="0.25">
      <c r="A11" s="1" t="s">
        <v>9</v>
      </c>
      <c r="B11" s="4">
        <f>res_share_state_target*'LEAP Statewide'!B11</f>
        <v>58.59070691202156</v>
      </c>
      <c r="C11" s="4">
        <f>res_share_state_target*'LEAP Statewide'!C11</f>
        <v>76.0494317945967</v>
      </c>
      <c r="D11" s="4">
        <f>res_share_state_target*'LEAP Statewide'!D11</f>
        <v>97.73984207114782</v>
      </c>
      <c r="E11" s="5">
        <f>res_share_state_target*'LEAP Statewide'!E11</f>
        <v>143.15187161335851</v>
      </c>
      <c r="G11" s="1" t="s">
        <v>9</v>
      </c>
      <c r="H11" s="4">
        <f>res_share_state_target*'LEAP Statewide'!H11</f>
        <v>53.355507553188438</v>
      </c>
      <c r="I11" s="4">
        <f>res_share_state_target*'LEAP Statewide'!I11</f>
        <v>42.437759236730436</v>
      </c>
      <c r="J11" s="4">
        <f>res_share_state_target*'LEAP Statewide'!J11</f>
        <v>23.661166617174207</v>
      </c>
      <c r="K11" s="5">
        <f>res_share_state_target*'LEAP Statewide'!K11</f>
        <v>2.9379987163890302</v>
      </c>
      <c r="L11" s="21"/>
      <c r="M11" s="7" t="s">
        <v>12</v>
      </c>
      <c r="N11" s="8">
        <f ca="1">SUM(N4:N10)</f>
        <v>321.22846625248707</v>
      </c>
      <c r="O11" s="8">
        <f ca="1">SUM(O4:O10)</f>
        <v>321.00057004744002</v>
      </c>
      <c r="P11" s="8">
        <f ca="1">SUM(P4:P10)</f>
        <v>314.25133628258476</v>
      </c>
      <c r="Q11" s="9">
        <f ca="1">SUM(Q4:Q10)</f>
        <v>309.57069884046439</v>
      </c>
      <c r="R11" s="4"/>
      <c r="S11" s="7" t="s">
        <v>12</v>
      </c>
      <c r="T11" s="8">
        <f ca="1">SUM(T4:T10)</f>
        <v>317.81528231997453</v>
      </c>
      <c r="U11" s="8">
        <f ca="1">SUM(U4:U10)</f>
        <v>299.69578097100214</v>
      </c>
      <c r="V11" s="8">
        <f ca="1">SUM(V4:V10)</f>
        <v>274.28009496506149</v>
      </c>
      <c r="W11" s="9">
        <f ca="1">SUM(W4:W10)</f>
        <v>238.53720477502682</v>
      </c>
    </row>
    <row r="12" spans="1:25" x14ac:dyDescent="0.25">
      <c r="A12" s="1" t="s">
        <v>10</v>
      </c>
      <c r="B12" s="4">
        <f>res_share_state_target*'LEAP Statewide'!B12</f>
        <v>125.4876077259331</v>
      </c>
      <c r="C12" s="4">
        <f>res_share_state_target*'LEAP Statewide'!C12</f>
        <v>98.586179149943007</v>
      </c>
      <c r="D12" s="4">
        <f>res_share_state_target*'LEAP Statewide'!D12</f>
        <v>64.986597121773812</v>
      </c>
      <c r="E12" s="5">
        <f>res_share_state_target*'LEAP Statewide'!E12</f>
        <v>17.39827223408977</v>
      </c>
      <c r="G12" s="1" t="s">
        <v>10</v>
      </c>
      <c r="H12" s="4">
        <f>res_share_state_target*'LEAP Statewide'!H12</f>
        <v>123.03323019742703</v>
      </c>
      <c r="I12" s="4">
        <f>res_share_state_target*'LEAP Statewide'!I12</f>
        <v>88.164142551065055</v>
      </c>
      <c r="J12" s="4">
        <f>res_share_state_target*'LEAP Statewide'!J12</f>
        <v>54.334840458651442</v>
      </c>
      <c r="K12" s="5">
        <f>res_share_state_target*'LEAP Statewide'!K12</f>
        <v>0</v>
      </c>
      <c r="L12" s="21"/>
    </row>
    <row r="13" spans="1:25" x14ac:dyDescent="0.25">
      <c r="A13" s="1" t="s">
        <v>11</v>
      </c>
      <c r="B13" s="4">
        <f>res_share_state_target*'LEAP Statewide'!B13</f>
        <v>7.7863011249157834</v>
      </c>
      <c r="C13" s="4">
        <f>res_share_state_target*'LEAP Statewide'!C13</f>
        <v>10.313221831604292</v>
      </c>
      <c r="D13" s="4">
        <f>res_share_state_target*'LEAP Statewide'!D13</f>
        <v>12.73132777101913</v>
      </c>
      <c r="E13" s="5">
        <f>res_share_state_target*'LEAP Statewide'!E13</f>
        <v>16.467301447415057</v>
      </c>
      <c r="G13" s="1" t="s">
        <v>11</v>
      </c>
      <c r="H13" s="4">
        <f>res_share_state_target*'LEAP Statewide'!H13</f>
        <v>8.9590825055319812</v>
      </c>
      <c r="I13" s="4">
        <f>res_share_state_target*'LEAP Statewide'!I13</f>
        <v>16.394758269232611</v>
      </c>
      <c r="J13" s="4">
        <f>res_share_state_target*'LEAP Statewide'!J13</f>
        <v>22.089397756554561</v>
      </c>
      <c r="K13" s="5">
        <f>res_share_state_target*'LEAP Statewide'!K13</f>
        <v>27.493864531146727</v>
      </c>
      <c r="L13" s="21"/>
      <c r="N13" s="21"/>
      <c r="O13" s="21"/>
      <c r="P13" s="21"/>
      <c r="Q13" s="21"/>
      <c r="T13" s="21"/>
      <c r="U13" s="21"/>
      <c r="V13" s="21"/>
      <c r="W13" s="21"/>
    </row>
    <row r="14" spans="1:25" x14ac:dyDescent="0.25">
      <c r="A14" s="7" t="s">
        <v>12</v>
      </c>
      <c r="B14" s="8">
        <f>SUM(B4:B13)</f>
        <v>378.59075640448435</v>
      </c>
      <c r="C14" s="8">
        <f>SUM(C4:C13)</f>
        <v>353.50290728305532</v>
      </c>
      <c r="D14" s="8">
        <f>SUM(D4:D13)</f>
        <v>327.89516538465227</v>
      </c>
      <c r="E14" s="9">
        <f>SUM(E4:E13)</f>
        <v>297.99528544378774</v>
      </c>
      <c r="G14" s="7" t="s">
        <v>12</v>
      </c>
      <c r="H14" s="8">
        <f>SUM(H4:H13)</f>
        <v>374.03262670868736</v>
      </c>
      <c r="I14" s="8">
        <f>SUM(I4:I13)</f>
        <v>328.56014451799138</v>
      </c>
      <c r="J14" s="8">
        <f>SUM(J4:J13)</f>
        <v>275.90588768723319</v>
      </c>
      <c r="K14" s="9">
        <f>SUM(K4:K13)</f>
        <v>194.99606295441265</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338.53483151807757</v>
      </c>
      <c r="C24" s="4">
        <f>res_share_state_target*'LEAP Statewide'!C24*1000</f>
        <v>278.08218303270655</v>
      </c>
      <c r="D24" s="4">
        <f>res_share_state_target*'LEAP Statewide'!D24*1000</f>
        <v>241.81059394148397</v>
      </c>
      <c r="E24" s="5">
        <f>res_share_state_target*'LEAP Statewide'!E24*1000</f>
        <v>205.53900485026136</v>
      </c>
      <c r="G24" s="1" t="s">
        <v>21</v>
      </c>
      <c r="H24" s="4">
        <f>res_share_state_target*'LEAP Statewide'!H24*1000</f>
        <v>338.53483151807757</v>
      </c>
      <c r="I24" s="4">
        <f>res_share_state_target*'LEAP Statewide'!I24*1000</f>
        <v>278.08218303270655</v>
      </c>
      <c r="J24" s="4">
        <f>res_share_state_target*'LEAP Statewide'!J24*1000</f>
        <v>132.99582666781617</v>
      </c>
      <c r="K24" s="5">
        <f>res_share_state_target*'LEAP Statewide'!K24*1000</f>
        <v>12.090529697074198</v>
      </c>
    </row>
    <row r="25" spans="1:16" x14ac:dyDescent="0.25">
      <c r="A25" s="1" t="s">
        <v>22</v>
      </c>
      <c r="B25" s="4">
        <f>res_share_state_target*'LEAP Statewide'!B25*1000</f>
        <v>48.36211878829679</v>
      </c>
      <c r="C25" s="4">
        <f>res_share_state_target*'LEAP Statewide'!C25*1000</f>
        <v>36.271589091222594</v>
      </c>
      <c r="D25" s="4">
        <f>res_share_state_target*'LEAP Statewide'!D25*1000</f>
        <v>36.271589091222594</v>
      </c>
      <c r="E25" s="5">
        <f>res_share_state_target*'LEAP Statewide'!E25*1000</f>
        <v>24.181059394148395</v>
      </c>
      <c r="G25" s="1" t="s">
        <v>22</v>
      </c>
      <c r="H25" s="4">
        <f>res_share_state_target*'LEAP Statewide'!H25*1000</f>
        <v>48.36211878829679</v>
      </c>
      <c r="I25" s="4">
        <f>res_share_state_target*'LEAP Statewide'!I25*1000</f>
        <v>36.271589091222594</v>
      </c>
      <c r="J25" s="4">
        <f>res_share_state_target*'LEAP Statewide'!J25*1000</f>
        <v>12.090529697074198</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24.181059394148395</v>
      </c>
      <c r="K26" s="5">
        <f>res_share_state_target*'LEAP Statewide'!K26*1000</f>
        <v>60.452648485370993</v>
      </c>
    </row>
    <row r="27" spans="1:16" x14ac:dyDescent="0.25">
      <c r="A27" s="1" t="s">
        <v>20</v>
      </c>
      <c r="B27" s="4">
        <f>res_share_state_target*'LEAP Statewide'!B27*1000</f>
        <v>12.090529697074198</v>
      </c>
      <c r="C27" s="4">
        <f>res_share_state_target*'LEAP Statewide'!C27*1000</f>
        <v>12.090529697074198</v>
      </c>
      <c r="D27" s="4">
        <f>res_share_state_target*'LEAP Statewide'!D27*1000</f>
        <v>12.090529697074198</v>
      </c>
      <c r="E27" s="5">
        <f>res_share_state_target*'LEAP Statewide'!E27*1000</f>
        <v>12.090529697074198</v>
      </c>
      <c r="G27" s="1" t="s">
        <v>20</v>
      </c>
      <c r="H27" s="4">
        <f>res_share_state_target*'LEAP Statewide'!H27*1000</f>
        <v>12.090529697074198</v>
      </c>
      <c r="I27" s="4">
        <f>res_share_state_target*'LEAP Statewide'!I27*1000</f>
        <v>12.090529697074198</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12.090529697074198</v>
      </c>
      <c r="K28" s="5">
        <f>res_share_state_target*'LEAP Statewide'!K28*1000</f>
        <v>12.090529697074198</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398.98748000344858</v>
      </c>
      <c r="C30" s="8">
        <f>SUM(C24:C29)</f>
        <v>326.44430182100336</v>
      </c>
      <c r="D30" s="8">
        <f>SUM(D24:D29)</f>
        <v>290.17271272978076</v>
      </c>
      <c r="E30" s="9">
        <f>SUM(E24:E29)</f>
        <v>241.81059394148397</v>
      </c>
      <c r="G30" s="7" t="s">
        <v>12</v>
      </c>
      <c r="H30" s="8">
        <f>SUM(H24:H29)</f>
        <v>398.98748000344858</v>
      </c>
      <c r="I30" s="8">
        <f>SUM(I24:I29)</f>
        <v>326.44430182100336</v>
      </c>
      <c r="J30" s="8">
        <f>SUM(J24:J29)</f>
        <v>181.35794545611299</v>
      </c>
      <c r="K30" s="9">
        <f>SUM(K24:K29)</f>
        <v>84.633707879519392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res_share_state_target*'LEAP Statewide'!B49</f>
        <v>1.2453245587986423</v>
      </c>
      <c r="C49" s="20">
        <f>res_share_state_target*'LEAP Statewide'!C49</f>
        <v>5.9606311406575792</v>
      </c>
      <c r="D49" s="20">
        <f>res_share_state_target*'LEAP Statewide'!D49</f>
        <v>10.337402890998439</v>
      </c>
      <c r="E49" s="20">
        <f>res_share_state_target*'LEAP Statewide'!E49</f>
        <v>17.047646872874619</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1.6437519379844965</v>
      </c>
      <c r="I4" s="4">
        <f>res_share_region_target*'LEAP Scenario'!I4</f>
        <v>5.8705426356589161</v>
      </c>
      <c r="J4" s="4">
        <f>res_share_region_target*'LEAP Scenario'!J4</f>
        <v>9.6276899224806218</v>
      </c>
      <c r="K4" s="5">
        <f>res_share_region_target*'LEAP Scenario'!K4</f>
        <v>14.911178294573647</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1.6339958875942426</v>
      </c>
      <c r="U4" s="4">
        <f>com_share_region_target*'LEAP Scenario'!U4</f>
        <v>10.008224811514737</v>
      </c>
      <c r="V4" s="4">
        <f>com_share_region_target*'LEAP Scenario'!V4</f>
        <v>18.790952707333791</v>
      </c>
      <c r="W4" s="5">
        <f>com_share_region_target*'LEAP Scenario'!W4</f>
        <v>33.496915695681977</v>
      </c>
      <c r="Y4" s="23"/>
    </row>
    <row r="5" spans="1:25" x14ac:dyDescent="0.25">
      <c r="A5" s="1" t="s">
        <v>3</v>
      </c>
      <c r="B5" s="4">
        <f>res_share_region_target*'LEAP Scenario'!B5</f>
        <v>221.90651162790701</v>
      </c>
      <c r="C5" s="4">
        <f>res_share_region_target*'LEAP Scenario'!C5</f>
        <v>184.1002170542636</v>
      </c>
      <c r="D5" s="4">
        <f>res_share_region_target*'LEAP Scenario'!D5</f>
        <v>152.75151937984498</v>
      </c>
      <c r="E5" s="5">
        <f>res_share_region_target*'LEAP Scenario'!E5</f>
        <v>116.35415503875971</v>
      </c>
      <c r="G5" s="1" t="s">
        <v>3</v>
      </c>
      <c r="H5" s="4">
        <f>res_share_region_target*'LEAP Scenario'!H5</f>
        <v>218.26677519379848</v>
      </c>
      <c r="I5" s="4">
        <f>res_share_region_target*'LEAP Scenario'!I5</f>
        <v>172.59395348837214</v>
      </c>
      <c r="J5" s="4">
        <f>res_share_region_target*'LEAP Scenario'!J5</f>
        <v>132.43944186046514</v>
      </c>
      <c r="K5" s="5">
        <f>res_share_region_target*'LEAP Scenario'!K5</f>
        <v>88.058139534883736</v>
      </c>
      <c r="L5" s="21"/>
      <c r="M5" s="1" t="s">
        <v>14</v>
      </c>
      <c r="N5" s="4">
        <f>com_share_region_target*'LEAP Scenario'!N5</f>
        <v>84.355037697052779</v>
      </c>
      <c r="O5" s="4">
        <f>com_share_region_target*'LEAP Scenario'!O5</f>
        <v>69.240575736806036</v>
      </c>
      <c r="P5" s="4">
        <f>com_share_region_target*'LEAP Scenario'!P5</f>
        <v>51.675119945167921</v>
      </c>
      <c r="Q5" s="5">
        <f>com_share_region_target*'LEAP Scenario'!Q5</f>
        <v>24.10143934201508</v>
      </c>
      <c r="R5" s="2"/>
      <c r="S5" s="1" t="s">
        <v>14</v>
      </c>
      <c r="T5" s="4">
        <f>com_share_region_target*'LEAP Scenario'!T5</f>
        <v>83.33379026730637</v>
      </c>
      <c r="U5" s="4">
        <f>com_share_region_target*'LEAP Scenario'!U5</f>
        <v>62.091843728581217</v>
      </c>
      <c r="V5" s="4">
        <f>com_share_region_target*'LEAP Scenario'!V5</f>
        <v>38.194653872515424</v>
      </c>
      <c r="W5" s="5">
        <f>com_share_region_target*'LEAP Scenario'!W5</f>
        <v>0.20424948594928033</v>
      </c>
      <c r="Y5" s="92"/>
    </row>
    <row r="6" spans="1:25" x14ac:dyDescent="0.25">
      <c r="A6" s="1" t="s">
        <v>4</v>
      </c>
      <c r="B6" s="4">
        <f>res_share_region_target*'LEAP Scenario'!B6</f>
        <v>22.42547286821706</v>
      </c>
      <c r="C6" s="4">
        <f>res_share_region_target*'LEAP Scenario'!C6</f>
        <v>16.67234108527132</v>
      </c>
      <c r="D6" s="4">
        <f>res_share_region_target*'LEAP Scenario'!D6</f>
        <v>9.6276899224806218</v>
      </c>
      <c r="E6" s="5">
        <f>res_share_region_target*'LEAP Scenario'!E6</f>
        <v>2.8178604651162797</v>
      </c>
      <c r="G6" s="1" t="s">
        <v>4</v>
      </c>
      <c r="H6" s="4">
        <f>res_share_region_target*'LEAP Scenario'!H6</f>
        <v>24.304046511627913</v>
      </c>
      <c r="I6" s="4">
        <f>res_share_region_target*'LEAP Scenario'!I6</f>
        <v>21.955829457364345</v>
      </c>
      <c r="J6" s="4">
        <f>res_share_region_target*'LEAP Scenario'!J6</f>
        <v>11.975906976744188</v>
      </c>
      <c r="K6" s="5">
        <f>res_share_region_target*'LEAP Scenario'!K6</f>
        <v>3.6397364341085279</v>
      </c>
      <c r="L6" s="21"/>
      <c r="M6" s="1" t="s">
        <v>15</v>
      </c>
      <c r="N6" s="89">
        <f>com_share_region_target*'LEAP Scenario'!N6</f>
        <v>154.00411240575738</v>
      </c>
      <c r="O6" s="89">
        <f>com_share_region_target*'LEAP Scenario'!O6</f>
        <v>163.80808773132281</v>
      </c>
      <c r="P6" s="89">
        <f>com_share_region_target*'LEAP Scenario'!P6</f>
        <v>170.95681973954763</v>
      </c>
      <c r="Q6" s="90">
        <f>com_share_region_target*'LEAP Scenario'!Q6</f>
        <v>186.07128169979438</v>
      </c>
      <c r="R6" s="4"/>
      <c r="S6" s="1" t="s">
        <v>15</v>
      </c>
      <c r="T6" s="89">
        <f>com_share_region_target*'LEAP Scenario'!T6</f>
        <v>151.96161754626456</v>
      </c>
      <c r="U6" s="89">
        <f>com_share_region_target*'LEAP Scenario'!U6</f>
        <v>150.5318711446196</v>
      </c>
      <c r="V6" s="89">
        <f>com_share_region_target*'LEAP Scenario'!V6</f>
        <v>145.83413296778616</v>
      </c>
      <c r="W6" s="90">
        <f>com_share_region_target*'LEAP Scenario'!W6</f>
        <v>141.340644276902</v>
      </c>
      <c r="Y6" s="92"/>
    </row>
    <row r="7" spans="1:25" x14ac:dyDescent="0.25">
      <c r="A7" s="1" t="s">
        <v>5</v>
      </c>
      <c r="B7" s="4">
        <f>res_share_region_target*'LEAP Scenario'!B7</f>
        <v>3.0526821705426364</v>
      </c>
      <c r="C7" s="4">
        <f>res_share_region_target*'LEAP Scenario'!C7</f>
        <v>14.441534883720934</v>
      </c>
      <c r="D7" s="4">
        <f>res_share_region_target*'LEAP Scenario'!D7</f>
        <v>22.42547286821706</v>
      </c>
      <c r="E7" s="5">
        <f>res_share_region_target*'LEAP Scenario'!E7</f>
        <v>28.178604651162797</v>
      </c>
      <c r="G7" s="1" t="s">
        <v>5</v>
      </c>
      <c r="H7" s="4">
        <f>res_share_region_target*'LEAP Scenario'!H7</f>
        <v>2.7004496124031014</v>
      </c>
      <c r="I7" s="4">
        <f>res_share_region_target*'LEAP Scenario'!I7</f>
        <v>12.915193798449614</v>
      </c>
      <c r="J7" s="4">
        <f>res_share_region_target*'LEAP Scenario'!J7</f>
        <v>26.417441860465122</v>
      </c>
      <c r="K7" s="5">
        <f>res_share_region_target*'LEAP Scenario'!K7</f>
        <v>31.700930232558147</v>
      </c>
      <c r="M7" s="1" t="s">
        <v>8</v>
      </c>
      <c r="N7" s="4">
        <f>com_share_region_target*'LEAP Scenario'!N7</f>
        <v>63.52159013022618</v>
      </c>
      <c r="O7" s="4">
        <f>com_share_region_target*'LEAP Scenario'!O7</f>
        <v>68.627827278958193</v>
      </c>
      <c r="P7" s="4">
        <f>com_share_region_target*'LEAP Scenario'!P7</f>
        <v>72.508567511994514</v>
      </c>
      <c r="Q7" s="5">
        <f>com_share_region_target*'LEAP Scenario'!Q7</f>
        <v>80.474297464016445</v>
      </c>
      <c r="R7" s="4"/>
      <c r="S7" s="1" t="s">
        <v>8</v>
      </c>
      <c r="T7" s="4">
        <f>com_share_region_target*'LEAP Scenario'!T7</f>
        <v>61.070596298834822</v>
      </c>
      <c r="U7" s="4">
        <f>com_share_region_target*'LEAP Scenario'!U7</f>
        <v>52.696367374914324</v>
      </c>
      <c r="V7" s="4">
        <f>com_share_region_target*'LEAP Scenario'!V7</f>
        <v>42.688142563399587</v>
      </c>
      <c r="W7" s="5">
        <f>com_share_region_target*'LEAP Scenario'!W7</f>
        <v>27.165181631254285</v>
      </c>
      <c r="Y7" s="92"/>
    </row>
    <row r="8" spans="1:25" x14ac:dyDescent="0.25">
      <c r="A8" s="1" t="s">
        <v>6</v>
      </c>
      <c r="B8" s="4">
        <f>res_share_region_target*'LEAP Scenario'!B8</f>
        <v>0.35223255813953497</v>
      </c>
      <c r="C8" s="4">
        <f>res_share_region_target*'LEAP Scenario'!C8</f>
        <v>1.5263410852713182</v>
      </c>
      <c r="D8" s="4">
        <f>res_share_region_target*'LEAP Scenario'!D8</f>
        <v>5.5183100775193807</v>
      </c>
      <c r="E8" s="5">
        <f>res_share_region_target*'LEAP Scenario'!E8</f>
        <v>13.26742635658915</v>
      </c>
      <c r="G8" s="1" t="s">
        <v>6</v>
      </c>
      <c r="H8" s="4">
        <f>res_share_region_target*'LEAP Scenario'!H8</f>
        <v>1.8785736434108531</v>
      </c>
      <c r="I8" s="4">
        <f>res_share_region_target*'LEAP Scenario'!I8</f>
        <v>5.4008992248062029</v>
      </c>
      <c r="J8" s="4">
        <f>res_share_region_target*'LEAP Scenario'!J8</f>
        <v>10.566976744186048</v>
      </c>
      <c r="K8" s="5">
        <f>res_share_region_target*'LEAP Scenario'!K8</f>
        <v>14.793767441860467</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15.146000000000003</v>
      </c>
      <c r="C9" s="4">
        <f>res_share_region_target*'LEAP Scenario'!C9</f>
        <v>19.255379844961244</v>
      </c>
      <c r="D9" s="4">
        <f>res_share_region_target*'LEAP Scenario'!D9</f>
        <v>23.599581395348842</v>
      </c>
      <c r="E9" s="5">
        <f>res_share_region_target*'LEAP Scenario'!E9</f>
        <v>5.987953488372094</v>
      </c>
      <c r="G9" s="1" t="s">
        <v>7</v>
      </c>
      <c r="H9" s="4">
        <f>res_share_region_target*'LEAP Scenario'!H9</f>
        <v>14.089302325581398</v>
      </c>
      <c r="I9" s="4">
        <f>res_share_region_target*'LEAP Scenario'!I9</f>
        <v>16.320108527131787</v>
      </c>
      <c r="J9" s="4">
        <f>res_share_region_target*'LEAP Scenario'!J9</f>
        <v>18.90314728682171</v>
      </c>
      <c r="K9" s="5">
        <f>res_share_region_target*'LEAP Scenario'!K9</f>
        <v>0</v>
      </c>
      <c r="L9" s="21"/>
      <c r="M9" s="1" t="s">
        <v>16</v>
      </c>
      <c r="N9" s="4">
        <f>com_share_region_target*'LEAP Scenario'!N9</f>
        <v>8.5784784098697742</v>
      </c>
      <c r="O9" s="4">
        <f>com_share_region_target*'LEAP Scenario'!O9</f>
        <v>6.3317340644276898</v>
      </c>
      <c r="P9" s="4">
        <f>com_share_region_target*'LEAP Scenario'!P9</f>
        <v>3.8807402330363261</v>
      </c>
      <c r="Q9" s="5">
        <f>com_share_region_target*'LEAP Scenario'!Q9</f>
        <v>0</v>
      </c>
      <c r="R9" s="2"/>
      <c r="S9" s="1" t="s">
        <v>16</v>
      </c>
      <c r="T9" s="4">
        <f>com_share_region_target*'LEAP Scenario'!T9</f>
        <v>8.5784784098697742</v>
      </c>
      <c r="U9" s="4">
        <f>com_share_region_target*'LEAP Scenario'!U9</f>
        <v>6.3317340644276898</v>
      </c>
      <c r="V9" s="4">
        <f>com_share_region_target*'LEAP Scenario'!V9</f>
        <v>3.8807402330363261</v>
      </c>
      <c r="W9" s="5">
        <f>com_share_region_target*'LEAP Scenario'!W9</f>
        <v>0</v>
      </c>
      <c r="Y9" s="23"/>
    </row>
    <row r="10" spans="1:25" x14ac:dyDescent="0.25">
      <c r="A10" s="1" t="s">
        <v>8</v>
      </c>
      <c r="B10" s="4">
        <f>res_share_region_target*'LEAP Scenario'!B10</f>
        <v>84.88804651162792</v>
      </c>
      <c r="C10" s="4">
        <f>res_share_region_target*'LEAP Scenario'!C10</f>
        <v>69.272403100775207</v>
      </c>
      <c r="D10" s="4">
        <f>res_share_region_target*'LEAP Scenario'!D10</f>
        <v>55.417922480620163</v>
      </c>
      <c r="E10" s="5">
        <f>res_share_region_target*'LEAP Scenario'!E10</f>
        <v>37.101829457364346</v>
      </c>
      <c r="G10" s="1" t="s">
        <v>8</v>
      </c>
      <c r="H10" s="4">
        <f>res_share_region_target*'LEAP Scenario'!H10</f>
        <v>83.009472868217074</v>
      </c>
      <c r="I10" s="4">
        <f>res_share_region_target*'LEAP Scenario'!I10</f>
        <v>64.928201550387612</v>
      </c>
      <c r="J10" s="4">
        <f>res_share_region_target*'LEAP Scenario'!J10</f>
        <v>41.563441860465126</v>
      </c>
      <c r="K10" s="5">
        <f>res_share_region_target*'LEAP Scenario'!K10</f>
        <v>14.558945736434111</v>
      </c>
      <c r="L10" s="21"/>
      <c r="M10" s="1" t="s">
        <v>17</v>
      </c>
      <c r="N10" s="4">
        <f>com_share_region_target*'LEAP Scenario'!N10</f>
        <v>27.573680603152845</v>
      </c>
      <c r="O10" s="4">
        <f>com_share_region_target*'LEAP Scenario'!O10</f>
        <v>30.841672378341329</v>
      </c>
      <c r="P10" s="4">
        <f>com_share_region_target*'LEAP Scenario'!P10</f>
        <v>33.905414667580537</v>
      </c>
      <c r="Q10" s="5">
        <f>com_share_region_target*'LEAP Scenario'!Q10</f>
        <v>39.215901302261827</v>
      </c>
      <c r="R10" s="4"/>
      <c r="S10" s="1" t="s">
        <v>17</v>
      </c>
      <c r="T10" s="4">
        <f>com_share_region_target*'LEAP Scenario'!T10</f>
        <v>28.799177518848527</v>
      </c>
      <c r="U10" s="4">
        <f>com_share_region_target*'LEAP Scenario'!U10</f>
        <v>39.420150788211103</v>
      </c>
      <c r="V10" s="4">
        <f>com_share_region_target*'LEAP Scenario'!V10</f>
        <v>49.836874571624399</v>
      </c>
      <c r="W10" s="5">
        <f>com_share_region_target*'LEAP Scenario'!W10</f>
        <v>67.810829335161074</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338.032899246059</v>
      </c>
      <c r="O11" s="8">
        <f>SUM(O4:O10)</f>
        <v>338.84989718985605</v>
      </c>
      <c r="P11" s="8">
        <f>SUM(P4:P10)</f>
        <v>332.92666209732693</v>
      </c>
      <c r="Q11" s="9">
        <f>SUM(Q4:Q10)</f>
        <v>329.86291980808778</v>
      </c>
      <c r="R11" s="4"/>
      <c r="S11" s="7" t="s">
        <v>12</v>
      </c>
      <c r="T11" s="8">
        <f>SUM(T4:T10)</f>
        <v>335.3776559287183</v>
      </c>
      <c r="U11" s="8">
        <f>SUM(U4:U10)</f>
        <v>321.08019191226867</v>
      </c>
      <c r="V11" s="8">
        <f>SUM(V4:V10)</f>
        <v>299.22549691569571</v>
      </c>
      <c r="W11" s="9">
        <f>SUM(W4:W10)</f>
        <v>270.01782042494864</v>
      </c>
    </row>
    <row r="12" spans="1:25" x14ac:dyDescent="0.25">
      <c r="A12" s="1" t="s">
        <v>10</v>
      </c>
      <c r="B12" s="4">
        <f>res_share_region_target*'LEAP Scenario'!B12</f>
        <v>206.76051162790702</v>
      </c>
      <c r="C12" s="4">
        <f>res_share_region_target*'LEAP Scenario'!C12</f>
        <v>157.56536434108531</v>
      </c>
      <c r="D12" s="4">
        <f>res_share_region_target*'LEAP Scenario'!D12</f>
        <v>110.36620155038761</v>
      </c>
      <c r="E12" s="5">
        <f>res_share_region_target*'LEAP Scenario'!E12</f>
        <v>48.255860465116285</v>
      </c>
      <c r="G12" s="1" t="s">
        <v>10</v>
      </c>
      <c r="H12" s="4">
        <f>res_share_region_target*'LEAP Scenario'!H12</f>
        <v>198.89398449612406</v>
      </c>
      <c r="I12" s="4">
        <f>res_share_region_target*'LEAP Scenario'!I12</f>
        <v>133.61355038759692</v>
      </c>
      <c r="J12" s="4">
        <f>res_share_region_target*'LEAP Scenario'!J12</f>
        <v>70.563922480620164</v>
      </c>
      <c r="K12" s="5">
        <f>res_share_region_target*'LEAP Scenario'!K12</f>
        <v>0</v>
      </c>
      <c r="L12" s="21"/>
    </row>
    <row r="13" spans="1:25" x14ac:dyDescent="0.25">
      <c r="A13" s="1" t="s">
        <v>11</v>
      </c>
      <c r="B13" s="4">
        <f>res_share_region_target*'LEAP Scenario'!B13</f>
        <v>42.737550387596904</v>
      </c>
      <c r="C13" s="4">
        <f>res_share_region_target*'LEAP Scenario'!C13</f>
        <v>37.923705426356598</v>
      </c>
      <c r="D13" s="4">
        <f>res_share_region_target*'LEAP Scenario'!D13</f>
        <v>34.049147286821714</v>
      </c>
      <c r="E13" s="5">
        <f>res_share_region_target*'LEAP Scenario'!E13</f>
        <v>30.409410852713183</v>
      </c>
      <c r="G13" s="1" t="s">
        <v>11</v>
      </c>
      <c r="H13" s="4">
        <f>res_share_region_target*'LEAP Scenario'!H13</f>
        <v>37.101829457364346</v>
      </c>
      <c r="I13" s="4">
        <f>res_share_region_target*'LEAP Scenario'!I13</f>
        <v>41.446031007751948</v>
      </c>
      <c r="J13" s="4">
        <f>res_share_region_target*'LEAP Scenario'!J13</f>
        <v>37.219240310077524</v>
      </c>
      <c r="K13" s="5">
        <f>res_share_region_target*'LEAP Scenario'!K13</f>
        <v>34.753612403100782</v>
      </c>
      <c r="L13" s="21"/>
      <c r="N13" s="21"/>
      <c r="O13" s="21"/>
      <c r="P13" s="21"/>
      <c r="Q13" s="21"/>
      <c r="T13" s="21"/>
      <c r="U13" s="21"/>
      <c r="V13" s="21"/>
      <c r="W13" s="21"/>
    </row>
    <row r="14" spans="1:25" x14ac:dyDescent="0.25">
      <c r="A14" s="7" t="s">
        <v>12</v>
      </c>
      <c r="B14" s="8">
        <f>SUM(B4:B13)</f>
        <v>597.26900775193803</v>
      </c>
      <c r="C14" s="8">
        <f>SUM(C4:C13)</f>
        <v>500.75728682170552</v>
      </c>
      <c r="D14" s="8">
        <f>SUM(D4:D13)</f>
        <v>413.75584496124043</v>
      </c>
      <c r="E14" s="9">
        <f>SUM(E4:E13)</f>
        <v>282.37310077519385</v>
      </c>
      <c r="G14" s="7" t="s">
        <v>12</v>
      </c>
      <c r="H14" s="8">
        <f>SUM(H4:H13)</f>
        <v>581.88818604651169</v>
      </c>
      <c r="I14" s="8">
        <f>SUM(I4:I13)</f>
        <v>475.04431007751947</v>
      </c>
      <c r="J14" s="8">
        <f>SUM(J4:J13)</f>
        <v>359.27720930232562</v>
      </c>
      <c r="K14" s="9">
        <f>SUM(K4:K13)</f>
        <v>202.41631007751943</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341.90040310077524</v>
      </c>
      <c r="C24" s="4">
        <f>res_share_region_target*'LEAP Scenario'!C24</f>
        <v>278.26372093023264</v>
      </c>
      <c r="D24" s="4">
        <f>res_share_region_target*'LEAP Scenario'!D24</f>
        <v>237.16992248062022</v>
      </c>
      <c r="E24" s="5">
        <f>res_share_region_target*'LEAP Scenario'!E24</f>
        <v>199.12880620155042</v>
      </c>
      <c r="G24" s="1" t="s">
        <v>21</v>
      </c>
      <c r="H24" s="4">
        <f>res_share_region_target*'LEAP Scenario'!H24</f>
        <v>343.19192248062024</v>
      </c>
      <c r="I24" s="4">
        <f>res_share_region_target*'LEAP Scenario'!I24</f>
        <v>245.85832558139541</v>
      </c>
      <c r="J24" s="4">
        <f>res_share_region_target*'LEAP Scenario'!J24</f>
        <v>136.90105426356592</v>
      </c>
      <c r="K24" s="5">
        <f>res_share_region_target*'LEAP Scenario'!K24</f>
        <v>10.684387596899226</v>
      </c>
    </row>
    <row r="25" spans="1:16" x14ac:dyDescent="0.25">
      <c r="A25" s="1" t="s">
        <v>22</v>
      </c>
      <c r="B25" s="4">
        <f>res_share_region_target*'LEAP Scenario'!B25</f>
        <v>46.377286821705432</v>
      </c>
      <c r="C25" s="4">
        <f>res_share_region_target*'LEAP Scenario'!C25</f>
        <v>37.454062015503887</v>
      </c>
      <c r="D25" s="4">
        <f>res_share_region_target*'LEAP Scenario'!D25</f>
        <v>31.700930232558147</v>
      </c>
      <c r="E25" s="5">
        <f>res_share_region_target*'LEAP Scenario'!E25</f>
        <v>26.300031007751944</v>
      </c>
      <c r="G25" s="1" t="s">
        <v>22</v>
      </c>
      <c r="H25" s="4">
        <f>res_share_region_target*'LEAP Scenario'!H25</f>
        <v>45.790232558139543</v>
      </c>
      <c r="I25" s="4">
        <f>res_share_region_target*'LEAP Scenario'!I25</f>
        <v>30.526821705426364</v>
      </c>
      <c r="J25" s="4">
        <f>res_share_region_target*'LEAP Scenario'!J25</f>
        <v>16.554930232558142</v>
      </c>
      <c r="K25" s="5">
        <f>res_share_region_target*'LEAP Scenario'!K25</f>
        <v>1.8785736434108531</v>
      </c>
    </row>
    <row r="26" spans="1:16" x14ac:dyDescent="0.25">
      <c r="A26" s="1" t="s">
        <v>23</v>
      </c>
      <c r="B26" s="4">
        <f>res_share_region_target*'LEAP Scenario'!B26</f>
        <v>0.35223255813953497</v>
      </c>
      <c r="C26" s="4">
        <f>res_share_region_target*'LEAP Scenario'!C26</f>
        <v>1.056697674418605</v>
      </c>
      <c r="D26" s="4">
        <f>res_share_region_target*'LEAP Scenario'!D26</f>
        <v>1.6437519379844965</v>
      </c>
      <c r="E26" s="5">
        <f>res_share_region_target*'LEAP Scenario'!E26</f>
        <v>2.4656279069767448</v>
      </c>
      <c r="G26" s="1" t="s">
        <v>23</v>
      </c>
      <c r="H26" s="4">
        <f>res_share_region_target*'LEAP Scenario'!H26</f>
        <v>0.35223255813953497</v>
      </c>
      <c r="I26" s="4">
        <f>res_share_region_target*'LEAP Scenario'!I26</f>
        <v>9.6276899224806218</v>
      </c>
      <c r="J26" s="4">
        <f>res_share_region_target*'LEAP Scenario'!J26</f>
        <v>27.943782945736441</v>
      </c>
      <c r="K26" s="5">
        <f>res_share_region_target*'LEAP Scenario'!K26</f>
        <v>54.126403100775207</v>
      </c>
    </row>
    <row r="27" spans="1:16" x14ac:dyDescent="0.25">
      <c r="A27" s="1" t="s">
        <v>20</v>
      </c>
      <c r="B27" s="4">
        <f>res_share_region_target*'LEAP Scenario'!B27</f>
        <v>12.445550387596901</v>
      </c>
      <c r="C27" s="4">
        <f>res_share_region_target*'LEAP Scenario'!C27</f>
        <v>11.741085271317832</v>
      </c>
      <c r="D27" s="4">
        <f>res_share_region_target*'LEAP Scenario'!D27</f>
        <v>11.506263565891475</v>
      </c>
      <c r="E27" s="5">
        <f>res_share_region_target*'LEAP Scenario'!E27</f>
        <v>11.388852713178297</v>
      </c>
      <c r="G27" s="1" t="s">
        <v>20</v>
      </c>
      <c r="H27" s="4">
        <f>res_share_region_target*'LEAP Scenario'!H27</f>
        <v>11.506263565891475</v>
      </c>
      <c r="I27" s="4">
        <f>res_share_region_target*'LEAP Scenario'!I27</f>
        <v>7.162062015503877</v>
      </c>
      <c r="J27" s="4">
        <f>res_share_region_target*'LEAP Scenario'!J27</f>
        <v>3.8745581395348845</v>
      </c>
      <c r="K27" s="5">
        <f>res_share_region_target*'LEAP Scenario'!K27</f>
        <v>0.11741085271317832</v>
      </c>
    </row>
    <row r="28" spans="1:16" x14ac:dyDescent="0.25">
      <c r="A28" s="1" t="s">
        <v>18</v>
      </c>
      <c r="B28" s="4">
        <f>res_share_region_target*'LEAP Scenario'!B28</f>
        <v>0.11741085271317832</v>
      </c>
      <c r="C28" s="4">
        <f>res_share_region_target*'LEAP Scenario'!C28</f>
        <v>0.11741085271317832</v>
      </c>
      <c r="D28" s="4">
        <f>res_share_region_target*'LEAP Scenario'!D28</f>
        <v>0.11741085271317832</v>
      </c>
      <c r="E28" s="5">
        <f>res_share_region_target*'LEAP Scenario'!E28</f>
        <v>0</v>
      </c>
      <c r="G28" s="1" t="s">
        <v>18</v>
      </c>
      <c r="H28" s="4">
        <f>res_share_region_target*'LEAP Scenario'!H28</f>
        <v>0.93928682170542654</v>
      </c>
      <c r="I28" s="4">
        <f>res_share_region_target*'LEAP Scenario'!I28</f>
        <v>4.4616124031007764</v>
      </c>
      <c r="J28" s="4">
        <f>res_share_region_target*'LEAP Scenario'!J28</f>
        <v>7.162062015503877</v>
      </c>
      <c r="K28" s="5">
        <f>res_share_region_target*'LEAP Scenario'!K28</f>
        <v>10.214744186046513</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401.19288372093024</v>
      </c>
      <c r="C30" s="8">
        <f>SUM(C24:C29)</f>
        <v>328.63297674418618</v>
      </c>
      <c r="D30" s="8">
        <f>SUM(D24:D29)</f>
        <v>282.13827906976752</v>
      </c>
      <c r="E30" s="9">
        <f>SUM(E24:E29)</f>
        <v>239.28331782945742</v>
      </c>
      <c r="G30" s="7" t="s">
        <v>12</v>
      </c>
      <c r="H30" s="8">
        <f>SUM(H24:H29)</f>
        <v>401.7799379844962</v>
      </c>
      <c r="I30" s="8">
        <f>SUM(I24:I29)</f>
        <v>297.63651162790705</v>
      </c>
      <c r="J30" s="8">
        <f>SUM(J24:J29)</f>
        <v>192.43638759689927</v>
      </c>
      <c r="K30" s="9">
        <f>SUM(K24:K29)</f>
        <v>77.021519379844975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res_share_region_target*'LEAP Scenario'!B49</f>
        <v>1.4089302325581399</v>
      </c>
      <c r="C49" s="20">
        <f>res_share_region_target*'LEAP Scenario'!C49</f>
        <v>6.5750077519379859</v>
      </c>
      <c r="D49" s="20">
        <f>res_share_region_target*'LEAP Scenario'!D49</f>
        <v>10.332155038759693</v>
      </c>
      <c r="E49" s="20">
        <f>res_share_region_target*'LEAP Scenario'!E49</f>
        <v>15.146000000000003</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1" t="s">
        <v>25</v>
      </c>
      <c r="C4" s="222"/>
      <c r="D4" s="222"/>
      <c r="E4" s="222"/>
      <c r="F4" s="223"/>
      <c r="H4" s="221" t="s">
        <v>30</v>
      </c>
      <c r="I4" s="222"/>
      <c r="J4" s="222"/>
      <c r="K4" s="222"/>
      <c r="L4" s="223"/>
      <c r="N4" s="221" t="s">
        <v>30</v>
      </c>
      <c r="O4" s="222"/>
      <c r="P4" s="222"/>
      <c r="Q4" s="222"/>
      <c r="R4" s="22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597269.00775193807</v>
      </c>
      <c r="J21" s="63">
        <f>'2.Heat Targets'!C24</f>
        <v>500757.28682170552</v>
      </c>
      <c r="K21" s="63">
        <f>'2.Heat Targets'!D24</f>
        <v>413755.84496124042</v>
      </c>
      <c r="L21" s="64">
        <f>'2.Heat Targets'!E24</f>
        <v>282373.10077519383</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4766.8806201550397</v>
      </c>
      <c r="J22" s="63">
        <f>'2.Heat Targets'!C25</f>
        <v>25548.601550387601</v>
      </c>
      <c r="K22" s="63">
        <f>'2.Heat Targets'!D25</f>
        <v>50298.809302325586</v>
      </c>
      <c r="L22" s="64">
        <f>'2.Heat Targets'!E25</f>
        <v>53879.840310077525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581888.18604651163</v>
      </c>
      <c r="J23" s="63">
        <f>'2.Heat Targets'!C26</f>
        <v>475044.31007751945</v>
      </c>
      <c r="K23" s="63">
        <f>'2.Heat Targets'!D26</f>
        <v>359277.20930232562</v>
      </c>
      <c r="L23" s="64">
        <f>'2.Heat Targets'!E26</f>
        <v>202416.31007751942</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6410.6325581395358</v>
      </c>
      <c r="J24" s="63">
        <f>'2.Heat Targets'!C27</f>
        <v>29305.748837209307</v>
      </c>
      <c r="K24" s="63">
        <f>'2.Heat Targets'!D27</f>
        <v>66571.953488372106</v>
      </c>
      <c r="L24" s="64">
        <f>'2.Heat Targets'!E27</f>
        <v>92989.395348837235</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13737.069767441921</v>
      </c>
      <c r="J25" s="63">
        <f>'2.Heat Targets'!C28</f>
        <v>21955.829457364336</v>
      </c>
      <c r="K25" s="63">
        <f>'2.Heat Targets'!D28</f>
        <v>38205.491472868292</v>
      </c>
      <c r="L25" s="64">
        <f>'2.Heat Targets'!E28</f>
        <v>40847.235658914709</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298">
        <f>'2.Heat Targets'!B29</f>
        <v>29.037500000000001</v>
      </c>
      <c r="J26" s="298">
        <f>'2.Heat Targets'!C29</f>
        <v>0</v>
      </c>
      <c r="K26" s="298">
        <f>'2.Heat Targets'!D29</f>
        <v>0</v>
      </c>
      <c r="L26" s="298">
        <f>'2.Heat Targets'!E29</f>
        <v>0</v>
      </c>
      <c r="O26" s="298">
        <f>'2.Heat Targets'!B29</f>
        <v>29.037500000000001</v>
      </c>
      <c r="P26" s="298"/>
      <c r="Q26" s="298"/>
      <c r="R26" s="29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473.08031915426329</v>
      </c>
      <c r="J27" s="63">
        <f>'2.Heat Targets'!C30</f>
        <v>756.11982634057119</v>
      </c>
      <c r="K27" s="63">
        <f>'2.Heat Targets'!D30</f>
        <v>1315.7293662632214</v>
      </c>
      <c r="L27" s="64">
        <f>'2.Heat Targets'!E30</f>
        <v>1406.7063507159608</v>
      </c>
      <c r="O27" s="62">
        <f>O25/$O$26</f>
        <v>350.43908116031423</v>
      </c>
      <c r="P27" s="63">
        <f>P25/$O$26</f>
        <v>1517.7365769032817</v>
      </c>
      <c r="Q27" s="63">
        <f>Q25/$O$26</f>
        <v>2288.3584733917519</v>
      </c>
      <c r="R27" s="64">
        <f>R25/$O$26</f>
        <v>4874.0785220323614</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3174</v>
      </c>
      <c r="J28" s="203">
        <f>'2.Heat Targets'!C31</f>
        <v>3364.44</v>
      </c>
      <c r="K28" s="203">
        <f>'2.Heat Targets'!D31</f>
        <v>3566.3064000000004</v>
      </c>
      <c r="L28" s="203">
        <f>'2.Heat Targets'!E31</f>
        <v>3780.2847840000004</v>
      </c>
      <c r="O28" s="203">
        <f>'2.Heat Targets'!B31</f>
        <v>3174</v>
      </c>
      <c r="P28" s="203">
        <f>'2.Heat Targets'!C31</f>
        <v>3364.44</v>
      </c>
      <c r="Q28" s="203">
        <f>'2.Heat Targets'!D31</f>
        <v>3566.3064000000004</v>
      </c>
      <c r="R28" s="203">
        <f>'2.Heat Targets'!E31</f>
        <v>3780.2847840000004</v>
      </c>
      <c r="T28" t="str">
        <f>'2.Heat Targets'!G31</f>
        <v>Enter a projection of the number of future residences in the area by each year.</v>
      </c>
    </row>
    <row r="29" spans="8:20" x14ac:dyDescent="0.25">
      <c r="I29" s="86">
        <f>'2.Heat Targets'!B32</f>
        <v>0.14904861977134951</v>
      </c>
      <c r="J29" s="87">
        <f>'2.Heat Targets'!C32</f>
        <v>0.22473868647994055</v>
      </c>
      <c r="K29" s="87">
        <f>'2.Heat Targets'!D32</f>
        <v>0.36893334971533048</v>
      </c>
      <c r="L29" s="88">
        <f>'2.Heat Targets'!E32</f>
        <v>0.37211650208730956</v>
      </c>
      <c r="O29" s="104">
        <f>O27/O28</f>
        <v>0.11040928833028174</v>
      </c>
      <c r="P29" s="105">
        <f>P27/P28</f>
        <v>0.45111120332158744</v>
      </c>
      <c r="Q29" s="105">
        <f>Q27/Q28</f>
        <v>0.64166064738345296</v>
      </c>
      <c r="R29" s="106">
        <f>R27/R28</f>
        <v>1.2893416238537971</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116.15</v>
      </c>
      <c r="J34" s="94">
        <f>'2.Heat Targets'!C54</f>
        <v>109.62415039133873</v>
      </c>
      <c r="K34" s="94">
        <f>'2.Heat Targets'!D54</f>
        <v>105.43709785764111</v>
      </c>
      <c r="L34" s="95">
        <f>'2.Heat Targets'!E54</f>
        <v>105.34466707063974</v>
      </c>
      <c r="O34" s="107">
        <f>'1.Current Heat'!B10</f>
        <v>116.15</v>
      </c>
      <c r="P34" s="108">
        <f>P29*($O$34-$O$26)+(1-P29)*$O$34</f>
        <v>103.05085843354942</v>
      </c>
      <c r="Q34" s="108">
        <f>Q29*($O$34-$O$26)+(1-Q29)*$O$34</f>
        <v>97.517778951602992</v>
      </c>
      <c r="R34" s="110">
        <f>R29*($O$34-$O$26)+(1-R29)*$O$34</f>
        <v>78.710742597345373</v>
      </c>
      <c r="T34" t="str">
        <f>'2.Heat Targets'!G54</f>
        <v>This is a projection of the average area residential heating load, in millions of Btu, computed based on values inputted above and in the "1.Current Heat" tab</v>
      </c>
    </row>
    <row r="35" spans="9:20" x14ac:dyDescent="0.25">
      <c r="I35" s="81">
        <f>'2.Heat Targets'!B55</f>
        <v>214627.03875968995</v>
      </c>
      <c r="J35" s="82">
        <f>'2.Heat Targets'!C55</f>
        <v>155804.20155038763</v>
      </c>
      <c r="K35" s="82">
        <f>'2.Heat Targets'!D55</f>
        <v>99094.759689922503</v>
      </c>
      <c r="L35" s="83">
        <f>'2.Heat Targets'!E55</f>
        <v>14911.178294573647</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3.7678975131876409E-2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1847.843639773482</v>
      </c>
      <c r="J37" s="63">
        <f>'2.Heat Targets'!C57</f>
        <v>1421.2580074207583</v>
      </c>
      <c r="K37" s="63">
        <f>'2.Heat Targets'!D57</f>
        <v>939.84718570040786</v>
      </c>
      <c r="L37" s="64">
        <f>'2.Heat Targets'!E57</f>
        <v>141.54658901313752</v>
      </c>
      <c r="O37" s="62">
        <f>O35/O34</f>
        <v>2401.5782334231139</v>
      </c>
      <c r="P37" s="62">
        <f>P35/P34</f>
        <v>2065.2394126475465</v>
      </c>
      <c r="Q37" s="62">
        <f>Q35/Q34</f>
        <v>1533.4721442866444</v>
      </c>
      <c r="R37" s="112">
        <f>R35/R34</f>
        <v>625.78923852649689</v>
      </c>
      <c r="T37" t="str">
        <f>'2.Heat Targets'!G57</f>
        <v>This formula computes an estimate the number of residences using biofuel-blended heat energy in the 90x50 scenario based on values inputted in the "1.Current Heat" tab.</v>
      </c>
    </row>
    <row r="38" spans="9:20" x14ac:dyDescent="0.25">
      <c r="I38" s="65">
        <f>'2.Heat Targets'!B58</f>
        <v>0.58218136098723439</v>
      </c>
      <c r="J38" s="66">
        <f>'2.Heat Targets'!C58</f>
        <v>0.42243523659829224</v>
      </c>
      <c r="K38" s="66">
        <f>'2.Heat Targets'!D58</f>
        <v>0.26353517625417933</v>
      </c>
      <c r="L38" s="67">
        <f>'2.Heat Targets'!E58</f>
        <v>3.7443366598260364E-2</v>
      </c>
      <c r="O38" s="109">
        <f>O37/O28</f>
        <v>0.75664090530028794</v>
      </c>
      <c r="P38" s="109">
        <f>P37/P28</f>
        <v>0.61384343684165754</v>
      </c>
      <c r="Q38" s="109">
        <f>Q37/Q28</f>
        <v>0.42998889391181988</v>
      </c>
      <c r="R38" s="113">
        <f>R37/R28</f>
        <v>0.16554023685600106</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255368.60465116284</v>
      </c>
      <c r="J39" s="82">
        <f>'2.Heat Targets'!C59</f>
        <v>214039.98449612409</v>
      </c>
      <c r="K39" s="82">
        <f>'2.Heat Targets'!D59</f>
        <v>169658.68217054266</v>
      </c>
      <c r="L39" s="83">
        <f>'2.Heat Targets'!E59</f>
        <v>122811.75193798452</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2198.6104576079451</v>
      </c>
      <c r="J40" s="63">
        <f>'2.Heat Targets'!C60</f>
        <v>1952.4893349872214</v>
      </c>
      <c r="K40" s="63">
        <f>'2.Heat Targets'!D60</f>
        <v>1609.098558456267</v>
      </c>
      <c r="L40" s="64">
        <f>'2.Heat Targets'!E60</f>
        <v>1165.8089142341878</v>
      </c>
      <c r="O40" s="62">
        <f>O39/O34</f>
        <v>1612.5816513782424</v>
      </c>
      <c r="P40" s="62">
        <f>P39/P34</f>
        <v>1877.1629527288485</v>
      </c>
      <c r="Q40" s="62">
        <f>Q39/Q34</f>
        <v>2001.2659005415146</v>
      </c>
      <c r="R40" s="112">
        <f>R39/R34</f>
        <v>2535.362722199221</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0.69269390598864056</v>
      </c>
      <c r="J41" s="66">
        <f>'2.Heat Targets'!C61</f>
        <v>0.58033115020247683</v>
      </c>
      <c r="K41" s="66">
        <f>'2.Heat Targets'!D61</f>
        <v>0.45119470342095869</v>
      </c>
      <c r="L41" s="67">
        <f>'2.Heat Targets'!E61</f>
        <v>0.30839182253370351</v>
      </c>
      <c r="O41" s="109">
        <f>O40/O28</f>
        <v>0.50805975153693839</v>
      </c>
      <c r="P41" s="109">
        <f>P40/P28</f>
        <v>0.55794216949294639</v>
      </c>
      <c r="Q41" s="109">
        <f>Q40/Q28</f>
        <v>0.56115927126775045</v>
      </c>
      <c r="R41" s="113">
        <f>R40/R28</f>
        <v>0.67068035004402482</v>
      </c>
      <c r="T41" t="str">
        <f>'2.Heat Targets'!G61</f>
        <v>This formula computes the estimated share of area residences using Wood heat  in the 90x50 scenario, based on values inputted in the "1.Current Heat" tab.</v>
      </c>
    </row>
    <row r="42" spans="9:20" x14ac:dyDescent="0.25">
      <c r="I42" s="81">
        <f>'2.Heat Targets'!B62</f>
        <v>4579.0232558139542</v>
      </c>
      <c r="J42" s="82">
        <f>'2.Heat Targets'!C62</f>
        <v>18316.093023255817</v>
      </c>
      <c r="K42" s="82">
        <f>'2.Heat Targets'!D62</f>
        <v>36984.418604651168</v>
      </c>
      <c r="L42" s="83">
        <f>'2.Heat Targets'!E62</f>
        <v>46494.697674418618</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135.1658054726461</v>
      </c>
      <c r="J43" s="63">
        <f>'2.Heat Targets'!C63</f>
        <v>579.21351199182072</v>
      </c>
      <c r="K43" s="63">
        <f>'2.Heat Targets'!D63</f>
        <v>1227.7032253965633</v>
      </c>
      <c r="L43" s="64">
        <f>'2.Heat Targets'!E63</f>
        <v>1557.7336521316111</v>
      </c>
      <c r="O43" s="62">
        <f>O42/((0.7*O34)/2.4)</f>
        <v>179.09738324958408</v>
      </c>
      <c r="P43" s="112">
        <f>P42/((0.75*P34)/2.6)</f>
        <v>954.02043750746907</v>
      </c>
      <c r="Q43" s="112">
        <f>Q42/((0.8*Q34)/2.8)</f>
        <v>2369.9242703982827</v>
      </c>
      <c r="R43" s="64">
        <f>R42/((0.85*R34)/3)</f>
        <v>4463.8806993350054</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4.2585319934671108E-2</v>
      </c>
      <c r="J44" s="66">
        <f>'2.Heat Targets'!C64</f>
        <v>0.17215747999423997</v>
      </c>
      <c r="K44" s="66">
        <f>'2.Heat Targets'!D64</f>
        <v>0.34425063011875906</v>
      </c>
      <c r="L44" s="67">
        <f>'2.Heat Targets'!E64</f>
        <v>0.41206780471267557</v>
      </c>
      <c r="O44" s="109">
        <f>O43/O28</f>
        <v>5.6426396738999393E-2</v>
      </c>
      <c r="P44" s="109">
        <f>P43/P28</f>
        <v>0.28355994980070059</v>
      </c>
      <c r="Q44" s="109">
        <f>Q43/Q28</f>
        <v>0.66453187263951363</v>
      </c>
      <c r="R44" s="113">
        <f>R43/R28</f>
        <v>1.1808318564326992</v>
      </c>
      <c r="T44" t="str">
        <f>'2.Heat Targets'!G64</f>
        <v>This formula computes the estimated share of area residences using Heat Pumps in the 90x50 scenario based on values inputted above and in the "1.Current Heat" tab.</v>
      </c>
    </row>
    <row r="45" spans="9:20" x14ac:dyDescent="0.25">
      <c r="I45" s="81">
        <f>'2.Heat Targets'!B65</f>
        <v>83009.472868217068</v>
      </c>
      <c r="J45" s="82">
        <f>'2.Heat Targets'!C65</f>
        <v>64928.20155038761</v>
      </c>
      <c r="K45" s="82">
        <f>'2.Heat Targets'!D65</f>
        <v>41563.441860465129</v>
      </c>
      <c r="L45" s="83">
        <f>'2.Heat Targets'!E65</f>
        <v>14558.945736434111</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714.67475564543315</v>
      </c>
      <c r="J46" s="63">
        <f>'2.Heat Targets'!C66</f>
        <v>592.28008900051191</v>
      </c>
      <c r="K46" s="63">
        <f>'2.Heat Targets'!D66</f>
        <v>394.20130774637965</v>
      </c>
      <c r="L46" s="64">
        <f>'2.Heat Targets'!E66</f>
        <v>138.20296880022875</v>
      </c>
      <c r="O46" s="62">
        <f>O45/O34</f>
        <v>2040.7567864009566</v>
      </c>
      <c r="P46" s="62">
        <f>P45/P34</f>
        <v>1814.1899791014409</v>
      </c>
      <c r="Q46" s="62">
        <f>Q45/Q34</f>
        <v>1208.7659084562497</v>
      </c>
      <c r="R46" s="112">
        <f>R45/R34</f>
        <v>380.19240424419212</v>
      </c>
      <c r="T46" t="str">
        <f>'2.Heat Targets'!G66</f>
        <v>This formula computes the estimates number of area residences using fossil heat in the 90x50 scenario based on values inputted in the "1.Current Heat" tab.</v>
      </c>
    </row>
    <row r="47" spans="9:20" x14ac:dyDescent="0.25">
      <c r="I47" s="65">
        <f>'2.Heat Targets'!B67</f>
        <v>0.22516532944090523</v>
      </c>
      <c r="J47" s="66">
        <f>'2.Heat Targets'!C67</f>
        <v>0.17604121012724611</v>
      </c>
      <c r="K47" s="66">
        <f>'2.Heat Targets'!D67</f>
        <v>0.1105348962013975</v>
      </c>
      <c r="L47" s="67">
        <f>'2.Heat Targets'!E67</f>
        <v>3.6558877623498305E-2</v>
      </c>
      <c r="O47" s="109">
        <f>O46/O28</f>
        <v>0.64296055022084331</v>
      </c>
      <c r="P47" s="109">
        <f>P46/P28</f>
        <v>0.53922494652941977</v>
      </c>
      <c r="Q47" s="109">
        <f>Q46/Q28</f>
        <v>0.33894056563851316</v>
      </c>
      <c r="R47" s="113">
        <f>R46/R28</f>
        <v>0.1005724240283036</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D27" sqref="D27"/>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49" t="s">
        <v>492</v>
      </c>
      <c r="C3" s="250"/>
      <c r="D3" s="250"/>
      <c r="E3" s="250"/>
      <c r="F3" s="250"/>
      <c r="G3" s="250"/>
      <c r="H3" s="250"/>
      <c r="I3" s="250"/>
      <c r="J3" s="250"/>
      <c r="K3" s="251"/>
      <c r="O3" t="s">
        <v>213</v>
      </c>
    </row>
    <row r="4" spans="2:15" x14ac:dyDescent="0.25">
      <c r="B4" s="101"/>
      <c r="C4" s="228" t="s">
        <v>493</v>
      </c>
      <c r="D4" s="228"/>
      <c r="E4" s="228"/>
      <c r="F4" s="228"/>
      <c r="G4" s="228"/>
      <c r="H4" s="228"/>
      <c r="I4" s="228"/>
      <c r="J4" s="228"/>
      <c r="K4" s="239"/>
      <c r="O4" t="s">
        <v>246</v>
      </c>
    </row>
    <row r="5" spans="2:15" x14ac:dyDescent="0.25">
      <c r="B5" s="101"/>
      <c r="C5" s="228" t="s">
        <v>155</v>
      </c>
      <c r="D5" s="228"/>
      <c r="E5" s="228"/>
      <c r="F5" s="228"/>
      <c r="G5" s="228"/>
      <c r="H5" s="228"/>
      <c r="I5" s="228"/>
      <c r="J5" s="228"/>
      <c r="K5" s="239"/>
      <c r="O5" t="s">
        <v>285</v>
      </c>
    </row>
    <row r="6" spans="2:15" x14ac:dyDescent="0.25">
      <c r="B6" s="101"/>
      <c r="C6" s="102"/>
      <c r="D6" s="228" t="s">
        <v>153</v>
      </c>
      <c r="E6" s="228"/>
      <c r="F6" s="228"/>
      <c r="G6" s="228"/>
      <c r="H6" s="228"/>
      <c r="I6" s="228"/>
      <c r="J6" s="228"/>
      <c r="K6" s="239"/>
      <c r="O6" t="s">
        <v>290</v>
      </c>
    </row>
    <row r="7" spans="2:15" x14ac:dyDescent="0.25">
      <c r="B7" s="101"/>
      <c r="C7" s="102"/>
      <c r="D7" s="228" t="s">
        <v>154</v>
      </c>
      <c r="E7" s="228"/>
      <c r="F7" s="228"/>
      <c r="G7" s="228"/>
      <c r="H7" s="228"/>
      <c r="I7" s="228"/>
      <c r="J7" s="228"/>
      <c r="K7" s="239"/>
      <c r="O7" t="s">
        <v>323</v>
      </c>
    </row>
    <row r="8" spans="2:15" x14ac:dyDescent="0.25">
      <c r="B8" s="101"/>
      <c r="C8" s="102"/>
      <c r="D8" s="252" t="s">
        <v>156</v>
      </c>
      <c r="E8" s="252"/>
      <c r="F8" s="252"/>
      <c r="G8" s="252"/>
      <c r="H8" s="252"/>
      <c r="I8" s="252"/>
      <c r="J8" s="252"/>
      <c r="K8" s="253"/>
      <c r="O8" t="s">
        <v>324</v>
      </c>
    </row>
    <row r="9" spans="2:15" x14ac:dyDescent="0.25">
      <c r="B9" s="101"/>
      <c r="C9" s="102"/>
      <c r="D9" s="102"/>
      <c r="E9" s="102"/>
      <c r="F9" s="102"/>
      <c r="G9" s="102"/>
      <c r="H9" s="102"/>
      <c r="I9" s="102"/>
      <c r="J9" s="102"/>
      <c r="K9" s="103"/>
      <c r="O9" t="s">
        <v>397</v>
      </c>
    </row>
    <row r="10" spans="2:15" ht="15" customHeight="1" x14ac:dyDescent="0.25">
      <c r="B10" s="230" t="s">
        <v>468</v>
      </c>
      <c r="C10" s="231"/>
      <c r="D10" s="231"/>
      <c r="E10" s="231"/>
      <c r="F10" s="231"/>
      <c r="G10" s="231"/>
      <c r="H10" s="231"/>
      <c r="I10" s="254" t="s">
        <v>403</v>
      </c>
      <c r="J10" s="254"/>
      <c r="K10" s="254"/>
      <c r="O10" t="s">
        <v>431</v>
      </c>
    </row>
    <row r="11" spans="2:15" ht="15" customHeight="1" x14ac:dyDescent="0.25">
      <c r="B11" s="230" t="s">
        <v>469</v>
      </c>
      <c r="C11" s="231"/>
      <c r="D11" s="231"/>
      <c r="E11" s="231"/>
      <c r="F11" s="231"/>
      <c r="G11" s="231"/>
      <c r="H11" s="232"/>
      <c r="I11" s="240">
        <f>INDEX(town_population[Pop Share of State],MATCH(I10,town_population[Municipality]))</f>
        <v>1.2090529697074198E-2</v>
      </c>
      <c r="J11" s="241"/>
      <c r="K11" s="242"/>
      <c r="O11" t="s">
        <v>433</v>
      </c>
    </row>
    <row r="12" spans="2:15" ht="15" customHeight="1" x14ac:dyDescent="0.25">
      <c r="B12" s="204" t="s">
        <v>507</v>
      </c>
      <c r="C12" s="205"/>
      <c r="D12" s="205"/>
      <c r="E12" s="205"/>
      <c r="F12" s="205"/>
      <c r="G12" s="205"/>
      <c r="H12" s="205"/>
      <c r="I12" s="240">
        <f>INDEX(town_population[Pop Share of Region],MATCH(I10,town_population[Municipality],0))</f>
        <v>0.11741085271317832</v>
      </c>
      <c r="J12" s="241"/>
      <c r="K12" s="242"/>
    </row>
    <row r="13" spans="2:15" ht="15" customHeight="1" x14ac:dyDescent="0.25">
      <c r="B13" s="246" t="s">
        <v>499</v>
      </c>
      <c r="C13" s="247"/>
      <c r="D13" s="247"/>
      <c r="E13" s="247"/>
      <c r="F13" s="247"/>
      <c r="G13" s="247"/>
      <c r="H13" s="247"/>
      <c r="I13" s="247"/>
      <c r="J13" s="247"/>
      <c r="K13" s="248"/>
    </row>
    <row r="14" spans="2:15" ht="15" customHeight="1" x14ac:dyDescent="0.25">
      <c r="B14" s="206" t="s">
        <v>513</v>
      </c>
      <c r="C14" s="207"/>
      <c r="D14" s="207"/>
      <c r="E14" s="207"/>
      <c r="F14" s="207"/>
      <c r="G14" s="207"/>
      <c r="H14" s="207"/>
      <c r="I14" s="243">
        <f>INDEX(town_establishments[share of state establishments],MATCH(I10,town_establishments[Municipality],0))</f>
        <v>1.5649616636907889E-2</v>
      </c>
      <c r="J14" s="244"/>
      <c r="K14" s="245"/>
    </row>
    <row r="15" spans="2:15" ht="15" customHeight="1" x14ac:dyDescent="0.25">
      <c r="B15" s="206" t="s">
        <v>514</v>
      </c>
      <c r="C15" s="207"/>
      <c r="D15" s="207"/>
      <c r="E15" s="207"/>
      <c r="F15" s="207"/>
      <c r="G15" s="207"/>
      <c r="H15" s="207"/>
      <c r="I15" s="240">
        <f>INDEX(town_establishments[share of regional establishments],MATCH(I10,town_establishments[Municipality],0))</f>
        <v>0.20424948594928033</v>
      </c>
      <c r="J15" s="241"/>
      <c r="K15" s="242"/>
    </row>
    <row r="16" spans="2:15" ht="15" customHeight="1" x14ac:dyDescent="0.25">
      <c r="B16" s="246" t="s">
        <v>499</v>
      </c>
      <c r="C16" s="247"/>
      <c r="D16" s="247"/>
      <c r="E16" s="247"/>
      <c r="F16" s="247"/>
      <c r="G16" s="247"/>
      <c r="H16" s="247"/>
      <c r="I16" s="247"/>
      <c r="J16" s="247"/>
      <c r="K16" s="24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28" t="s">
        <v>157</v>
      </c>
      <c r="D20" s="228"/>
      <c r="E20" s="228"/>
      <c r="F20" s="228"/>
      <c r="G20" s="228"/>
      <c r="H20" s="228"/>
      <c r="I20" s="201" t="s">
        <v>497</v>
      </c>
      <c r="J20" s="102"/>
      <c r="K20" s="103"/>
    </row>
    <row r="21" spans="1:15" ht="15" customHeight="1" x14ac:dyDescent="0.25">
      <c r="B21" s="101"/>
      <c r="C21" s="228" t="s">
        <v>495</v>
      </c>
      <c r="D21" s="228"/>
      <c r="E21" s="228"/>
      <c r="F21" s="228"/>
      <c r="G21" s="228"/>
      <c r="H21" s="22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33" t="s">
        <v>501</v>
      </c>
      <c r="C23" s="234"/>
      <c r="D23" s="234"/>
      <c r="E23" s="234"/>
      <c r="F23" s="234"/>
      <c r="G23" s="234"/>
      <c r="H23" s="234"/>
      <c r="I23" s="234"/>
      <c r="J23" s="234"/>
      <c r="K23" s="235"/>
      <c r="O23" s="100"/>
    </row>
    <row r="24" spans="1:15" s="177" customFormat="1" x14ac:dyDescent="0.25">
      <c r="A24" s="199"/>
      <c r="B24" s="233"/>
      <c r="C24" s="234"/>
      <c r="D24" s="234"/>
      <c r="E24" s="234"/>
      <c r="F24" s="234"/>
      <c r="G24" s="234"/>
      <c r="H24" s="234"/>
      <c r="I24" s="234"/>
      <c r="J24" s="234"/>
      <c r="K24" s="235"/>
      <c r="O24" s="100"/>
    </row>
    <row r="25" spans="1:15" x14ac:dyDescent="0.25">
      <c r="B25" s="236"/>
      <c r="C25" s="237"/>
      <c r="D25" s="237"/>
      <c r="E25" s="237"/>
      <c r="F25" s="237"/>
      <c r="G25" s="237"/>
      <c r="H25" s="237"/>
      <c r="I25" s="237"/>
      <c r="J25" s="237"/>
      <c r="K25" s="23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10" sqref="B10"/>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377365.04372848495</v>
      </c>
      <c r="C5" s="255" t="s">
        <v>481</v>
      </c>
      <c r="D5" s="256"/>
      <c r="E5" s="256"/>
      <c r="F5" s="256"/>
      <c r="G5" s="256"/>
      <c r="H5" s="256"/>
      <c r="I5" s="256"/>
      <c r="J5" s="256"/>
      <c r="K5" s="256"/>
      <c r="L5" s="256"/>
      <c r="M5" s="256"/>
      <c r="N5" s="256"/>
    </row>
    <row r="7" spans="1:16" x14ac:dyDescent="0.25">
      <c r="C7" s="53" t="s">
        <v>70</v>
      </c>
    </row>
    <row r="8" spans="1:16" x14ac:dyDescent="0.25">
      <c r="C8" s="25"/>
    </row>
    <row r="9" spans="1:16" ht="36" customHeight="1" x14ac:dyDescent="0.25">
      <c r="A9" s="32">
        <v>1</v>
      </c>
      <c r="B9" s="116">
        <v>5024</v>
      </c>
      <c r="C9" s="258" t="s">
        <v>483</v>
      </c>
      <c r="D9" s="256"/>
      <c r="E9" s="256"/>
      <c r="F9" s="256"/>
      <c r="G9" s="256"/>
      <c r="H9" s="256"/>
      <c r="I9" s="256"/>
      <c r="J9" s="256"/>
      <c r="K9" s="256"/>
      <c r="L9" s="256"/>
      <c r="M9" s="256"/>
      <c r="N9" s="256"/>
    </row>
    <row r="10" spans="1:16" ht="36" customHeight="1" x14ac:dyDescent="0.25">
      <c r="B10" s="21"/>
      <c r="C10" s="31"/>
      <c r="D10" s="125" t="s">
        <v>60</v>
      </c>
      <c r="E10" s="259" t="s">
        <v>64</v>
      </c>
      <c r="F10" s="259"/>
      <c r="G10" s="257" t="s">
        <v>61</v>
      </c>
      <c r="H10" s="257"/>
      <c r="I10" s="257"/>
      <c r="J10" s="257"/>
      <c r="K10" s="257"/>
      <c r="L10" s="257"/>
      <c r="M10" s="257"/>
      <c r="N10" s="257"/>
    </row>
    <row r="11" spans="1:16" ht="36" customHeight="1" x14ac:dyDescent="0.25">
      <c r="B11" s="21"/>
      <c r="C11" s="31"/>
      <c r="D11" s="125"/>
      <c r="E11" s="257" t="s">
        <v>65</v>
      </c>
      <c r="F11" s="257"/>
      <c r="G11" s="257" t="s">
        <v>170</v>
      </c>
      <c r="H11" s="257"/>
      <c r="I11" s="257"/>
      <c r="J11" s="257"/>
      <c r="K11" s="257"/>
      <c r="L11" s="257"/>
      <c r="M11" s="257"/>
      <c r="N11" s="257"/>
    </row>
    <row r="12" spans="1:16" ht="36" customHeight="1" x14ac:dyDescent="0.25">
      <c r="B12" s="21"/>
      <c r="C12" s="31"/>
      <c r="D12" s="125" t="s">
        <v>62</v>
      </c>
      <c r="E12" s="257" t="s">
        <v>63</v>
      </c>
      <c r="F12" s="257"/>
      <c r="G12" s="257"/>
      <c r="H12" s="257"/>
      <c r="I12" s="257"/>
      <c r="J12" s="257"/>
      <c r="K12" s="257"/>
      <c r="L12" s="257"/>
      <c r="M12" s="257"/>
      <c r="N12" s="257"/>
    </row>
    <row r="13" spans="1:16" ht="36" customHeight="1" x14ac:dyDescent="0.25">
      <c r="A13" s="32">
        <v>2</v>
      </c>
      <c r="B13" s="116">
        <v>14000</v>
      </c>
      <c r="C13" s="260" t="s">
        <v>484</v>
      </c>
      <c r="D13" s="256"/>
      <c r="E13" s="256"/>
      <c r="F13" s="256"/>
      <c r="G13" s="256"/>
      <c r="H13" s="256"/>
      <c r="I13" s="256"/>
      <c r="J13" s="256"/>
      <c r="K13" s="256"/>
      <c r="L13" s="256"/>
      <c r="M13" s="256"/>
      <c r="N13" s="256"/>
      <c r="O13" s="34">
        <f>B13/12500</f>
        <v>1.1200000000000001</v>
      </c>
      <c r="P13" s="184" t="s">
        <v>544</v>
      </c>
    </row>
    <row r="14" spans="1:16" ht="36" customHeight="1" x14ac:dyDescent="0.25">
      <c r="A14" s="32">
        <v>3</v>
      </c>
      <c r="B14" s="116">
        <v>22</v>
      </c>
      <c r="C14" s="260" t="s">
        <v>485</v>
      </c>
      <c r="D14" s="256"/>
      <c r="E14" s="256"/>
      <c r="F14" s="256"/>
      <c r="G14" s="256"/>
      <c r="H14" s="256"/>
      <c r="I14" s="256"/>
      <c r="J14" s="256"/>
      <c r="K14" s="256"/>
      <c r="L14" s="256"/>
      <c r="M14" s="256"/>
      <c r="N14" s="256"/>
    </row>
    <row r="15" spans="1:16" s="118" customFormat="1" ht="36" customHeight="1" x14ac:dyDescent="0.25">
      <c r="A15" s="117"/>
      <c r="D15" s="119">
        <v>0.4</v>
      </c>
      <c r="E15" s="256" t="s">
        <v>172</v>
      </c>
      <c r="F15" s="256"/>
      <c r="G15" s="256"/>
      <c r="H15" s="256"/>
      <c r="I15" s="256"/>
      <c r="J15" s="256"/>
      <c r="K15" s="256"/>
      <c r="L15" s="256"/>
      <c r="M15" s="256"/>
      <c r="N15" s="256"/>
    </row>
    <row r="16" spans="1:16" s="118" customFormat="1" ht="36" customHeight="1" x14ac:dyDescent="0.25">
      <c r="A16" s="117"/>
      <c r="D16" s="119">
        <f>150000/583770</f>
        <v>0.25695051133151753</v>
      </c>
      <c r="E16" s="256" t="s">
        <v>173</v>
      </c>
      <c r="F16" s="256"/>
      <c r="G16" s="256"/>
      <c r="H16" s="256"/>
      <c r="I16" s="256"/>
      <c r="J16" s="256"/>
      <c r="K16" s="256"/>
      <c r="L16" s="256"/>
      <c r="M16" s="256"/>
      <c r="N16" s="256"/>
    </row>
    <row r="17" spans="1:14" s="118" customFormat="1" ht="36" customHeight="1" x14ac:dyDescent="0.25">
      <c r="A17" s="117"/>
      <c r="D17" s="119">
        <v>0.86</v>
      </c>
      <c r="E17" s="256" t="s">
        <v>171</v>
      </c>
      <c r="F17" s="256"/>
      <c r="G17" s="256"/>
      <c r="H17" s="256"/>
      <c r="I17" s="256"/>
      <c r="J17" s="256"/>
      <c r="K17" s="256"/>
      <c r="L17" s="256"/>
      <c r="M17" s="256"/>
      <c r="N17" s="256"/>
    </row>
    <row r="18" spans="1:14" ht="36" customHeight="1" x14ac:dyDescent="0.25">
      <c r="B18" s="120">
        <f>B9*B13/B14</f>
        <v>3197090.9090909092</v>
      </c>
      <c r="C18" s="257" t="s">
        <v>43</v>
      </c>
      <c r="D18" s="257"/>
      <c r="E18" s="257"/>
      <c r="F18" s="257"/>
      <c r="G18" s="257"/>
      <c r="H18" s="257"/>
      <c r="I18" s="257"/>
      <c r="J18" s="257"/>
      <c r="K18" s="257"/>
      <c r="L18" s="257"/>
      <c r="M18" s="257"/>
      <c r="N18" s="257"/>
    </row>
    <row r="19" spans="1:14" ht="36" customHeight="1" x14ac:dyDescent="0.25">
      <c r="A19" s="32">
        <v>4</v>
      </c>
      <c r="B19" s="121">
        <v>0.09</v>
      </c>
      <c r="C19" s="260" t="s">
        <v>486</v>
      </c>
      <c r="D19" s="256"/>
      <c r="E19" s="256"/>
      <c r="F19" s="256"/>
      <c r="G19" s="256"/>
      <c r="H19" s="256"/>
      <c r="I19" s="256"/>
      <c r="J19" s="256"/>
      <c r="K19" s="256"/>
      <c r="L19" s="256"/>
      <c r="M19" s="256"/>
      <c r="N19" s="256"/>
    </row>
    <row r="20" spans="1:14" ht="36" customHeight="1" x14ac:dyDescent="0.25">
      <c r="B20" s="120">
        <f>(1-B19)*B18</f>
        <v>2909352.7272727275</v>
      </c>
      <c r="C20" s="256" t="s">
        <v>73</v>
      </c>
      <c r="D20" s="256"/>
      <c r="E20" s="256"/>
      <c r="F20" s="256"/>
      <c r="G20" s="256"/>
      <c r="H20" s="256"/>
      <c r="I20" s="256"/>
      <c r="J20" s="256"/>
      <c r="K20" s="256"/>
      <c r="L20" s="256"/>
      <c r="M20" s="256"/>
      <c r="N20" s="256"/>
    </row>
    <row r="21" spans="1:14" ht="36" customHeight="1" x14ac:dyDescent="0.25">
      <c r="B21" s="120">
        <f>fossilBtu</f>
        <v>121258.5</v>
      </c>
      <c r="C21" s="256" t="s">
        <v>174</v>
      </c>
      <c r="D21" s="256"/>
      <c r="E21" s="256"/>
      <c r="F21" s="256"/>
      <c r="G21" s="256"/>
      <c r="H21" s="256"/>
      <c r="I21" s="256"/>
      <c r="J21" s="256"/>
      <c r="K21" s="256"/>
      <c r="L21" s="256"/>
      <c r="M21" s="256"/>
      <c r="N21" s="256"/>
    </row>
    <row r="22" spans="1:14" ht="36" customHeight="1" x14ac:dyDescent="0.25">
      <c r="B22" s="120">
        <f>B20*B21/1000000</f>
        <v>352783.74768000009</v>
      </c>
      <c r="C22" s="256" t="s">
        <v>66</v>
      </c>
      <c r="D22" s="256"/>
      <c r="E22" s="256"/>
      <c r="F22" s="256"/>
      <c r="G22" s="256"/>
      <c r="H22" s="256"/>
      <c r="I22" s="256"/>
      <c r="J22" s="256"/>
      <c r="K22" s="256"/>
      <c r="L22" s="256"/>
      <c r="M22" s="256"/>
      <c r="N22" s="256"/>
    </row>
    <row r="23" spans="1:14" ht="36" customHeight="1" x14ac:dyDescent="0.25">
      <c r="B23" s="120">
        <f>B18-B20</f>
        <v>287738.18181818165</v>
      </c>
      <c r="C23" s="256" t="s">
        <v>67</v>
      </c>
      <c r="D23" s="256"/>
      <c r="E23" s="256"/>
      <c r="F23" s="256"/>
      <c r="G23" s="256"/>
      <c r="H23" s="256"/>
      <c r="I23" s="256"/>
      <c r="J23" s="256"/>
      <c r="K23" s="256"/>
      <c r="L23" s="256"/>
      <c r="M23" s="256"/>
      <c r="N23" s="256"/>
    </row>
    <row r="24" spans="1:14" ht="36" customHeight="1" x14ac:dyDescent="0.25">
      <c r="B24" s="120">
        <v>84710</v>
      </c>
      <c r="C24" s="256" t="s">
        <v>68</v>
      </c>
      <c r="D24" s="256"/>
      <c r="E24" s="256"/>
      <c r="F24" s="256"/>
      <c r="G24" s="256"/>
      <c r="H24" s="256"/>
      <c r="I24" s="256"/>
      <c r="J24" s="256"/>
      <c r="K24" s="256"/>
      <c r="L24" s="256"/>
      <c r="M24" s="256"/>
      <c r="N24" s="256"/>
    </row>
    <row r="25" spans="1:14" ht="36" customHeight="1" x14ac:dyDescent="0.25">
      <c r="B25" s="120">
        <f>B23*B24/1000000</f>
        <v>24374.301381818168</v>
      </c>
      <c r="C25" s="256" t="s">
        <v>69</v>
      </c>
      <c r="D25" s="256"/>
      <c r="E25" s="256"/>
      <c r="F25" s="256"/>
      <c r="G25" s="256"/>
      <c r="H25" s="256"/>
      <c r="I25" s="256"/>
      <c r="J25" s="256"/>
      <c r="K25" s="256"/>
      <c r="L25" s="256"/>
      <c r="M25" s="256"/>
      <c r="N25" s="256"/>
    </row>
    <row r="26" spans="1:14" ht="36" customHeight="1" x14ac:dyDescent="0.25">
      <c r="B26" s="122">
        <f>B22+B25</f>
        <v>377158.04906181828</v>
      </c>
      <c r="C26" s="255" t="s">
        <v>71</v>
      </c>
      <c r="D26" s="256"/>
      <c r="E26" s="256"/>
      <c r="F26" s="256"/>
      <c r="G26" s="256"/>
      <c r="H26" s="256"/>
      <c r="I26" s="256"/>
      <c r="J26" s="256"/>
      <c r="K26" s="256"/>
      <c r="L26" s="256"/>
      <c r="M26" s="256"/>
      <c r="N26" s="25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26</v>
      </c>
      <c r="C32" s="260" t="s">
        <v>502</v>
      </c>
      <c r="D32" s="256"/>
      <c r="E32" s="256"/>
      <c r="F32" s="256"/>
      <c r="G32" s="256"/>
      <c r="H32" s="256"/>
      <c r="I32" s="256"/>
      <c r="J32" s="256"/>
      <c r="K32" s="256"/>
      <c r="L32" s="256"/>
      <c r="M32" s="25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57" t="s">
        <v>78</v>
      </c>
      <c r="D34" s="257"/>
      <c r="E34" s="257"/>
      <c r="F34" s="257"/>
      <c r="G34" s="257"/>
      <c r="H34" s="257"/>
      <c r="I34" s="257"/>
      <c r="J34" s="257"/>
      <c r="K34" s="257"/>
      <c r="L34" s="257"/>
      <c r="M34" s="257"/>
      <c r="N34" s="257"/>
    </row>
    <row r="35" spans="2:14" ht="36" customHeight="1" x14ac:dyDescent="0.25">
      <c r="B35" s="120">
        <v>3</v>
      </c>
      <c r="C35" s="257" t="s">
        <v>74</v>
      </c>
      <c r="D35" s="257"/>
      <c r="E35" s="257"/>
      <c r="F35" s="257"/>
      <c r="G35" s="257"/>
      <c r="H35" s="257"/>
      <c r="I35" s="257"/>
      <c r="J35" s="257"/>
      <c r="K35" s="257"/>
      <c r="L35" s="257"/>
      <c r="M35" s="257"/>
      <c r="N35" s="257"/>
    </row>
    <row r="36" spans="2:14" ht="36" customHeight="1" x14ac:dyDescent="0.25">
      <c r="B36" s="120">
        <f>B32*B34/B35</f>
        <v>60666.666666666664</v>
      </c>
      <c r="C36" s="257" t="s">
        <v>72</v>
      </c>
      <c r="D36" s="257"/>
      <c r="E36" s="257"/>
      <c r="F36" s="257"/>
      <c r="G36" s="257"/>
      <c r="H36" s="257"/>
      <c r="I36" s="257"/>
      <c r="J36" s="257"/>
      <c r="K36" s="257"/>
      <c r="L36" s="257"/>
      <c r="M36" s="257"/>
      <c r="N36" s="257"/>
    </row>
    <row r="37" spans="2:14" ht="36" customHeight="1" x14ac:dyDescent="0.25">
      <c r="B37" s="120">
        <v>3412</v>
      </c>
      <c r="C37" s="257" t="s">
        <v>176</v>
      </c>
      <c r="D37" s="257"/>
      <c r="E37" s="257"/>
      <c r="F37" s="257"/>
      <c r="G37" s="257"/>
      <c r="H37" s="257"/>
      <c r="I37" s="257"/>
      <c r="J37" s="257"/>
      <c r="K37" s="257"/>
      <c r="L37" s="257"/>
      <c r="M37" s="257"/>
      <c r="N37" s="257"/>
    </row>
    <row r="38" spans="2:14" ht="36" customHeight="1" x14ac:dyDescent="0.25">
      <c r="B38" s="122">
        <f>B36*B37/1000000</f>
        <v>206.99466666666666</v>
      </c>
      <c r="C38" s="261" t="s">
        <v>75</v>
      </c>
      <c r="D38" s="257"/>
      <c r="E38" s="257"/>
      <c r="F38" s="257"/>
      <c r="G38" s="257"/>
      <c r="H38" s="257"/>
      <c r="I38" s="257"/>
      <c r="J38" s="257"/>
      <c r="K38" s="257"/>
      <c r="L38" s="257"/>
      <c r="M38" s="257"/>
      <c r="N38" s="25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578501.74081032479</v>
      </c>
      <c r="C4" s="255" t="s">
        <v>91</v>
      </c>
      <c r="D4" s="256"/>
      <c r="E4" s="256"/>
      <c r="F4" s="256"/>
      <c r="G4" s="256"/>
      <c r="H4" s="256"/>
      <c r="I4" s="256"/>
      <c r="J4" s="256"/>
      <c r="K4" s="256"/>
      <c r="L4" s="256"/>
      <c r="M4" s="256"/>
      <c r="N4" s="256"/>
    </row>
    <row r="5" spans="1:15" x14ac:dyDescent="0.25">
      <c r="A5" s="56"/>
      <c r="B5" s="54"/>
    </row>
    <row r="6" spans="1:15" ht="18.75" x14ac:dyDescent="0.3">
      <c r="B6" s="54"/>
      <c r="C6" s="51" t="s">
        <v>80</v>
      </c>
    </row>
    <row r="7" spans="1:15" x14ac:dyDescent="0.25">
      <c r="B7" s="54"/>
      <c r="C7" s="25"/>
    </row>
    <row r="8" spans="1:15" ht="42.75" customHeight="1" x14ac:dyDescent="0.25">
      <c r="A8" s="54">
        <v>1</v>
      </c>
      <c r="B8" s="36">
        <v>3174</v>
      </c>
      <c r="C8" s="267" t="s">
        <v>79</v>
      </c>
      <c r="D8" s="257"/>
      <c r="E8" s="257"/>
      <c r="F8" s="257"/>
      <c r="G8" s="257"/>
      <c r="H8" s="257"/>
      <c r="I8" s="257"/>
      <c r="J8" s="257"/>
      <c r="K8" s="257"/>
      <c r="L8" s="257"/>
      <c r="M8" s="257"/>
      <c r="N8" s="257"/>
    </row>
    <row r="9" spans="1:15" ht="42.75" customHeight="1" x14ac:dyDescent="0.25">
      <c r="B9" s="56"/>
      <c r="C9" s="26"/>
      <c r="D9" s="57" t="s">
        <v>92</v>
      </c>
      <c r="E9" s="266" t="s">
        <v>64</v>
      </c>
      <c r="F9" s="266"/>
      <c r="G9" s="257" t="s">
        <v>81</v>
      </c>
      <c r="H9" s="257"/>
      <c r="I9" s="257"/>
      <c r="J9" s="257"/>
      <c r="K9" s="257"/>
      <c r="L9" s="257"/>
      <c r="M9" s="257"/>
      <c r="N9" s="257"/>
    </row>
    <row r="10" spans="1:15" ht="52.5" customHeight="1" x14ac:dyDescent="0.25">
      <c r="A10" s="54">
        <v>2</v>
      </c>
      <c r="B10" s="36">
        <v>116.15</v>
      </c>
      <c r="C10" s="263" t="s">
        <v>543</v>
      </c>
      <c r="D10" s="262"/>
      <c r="E10" s="262"/>
      <c r="F10" s="262"/>
      <c r="G10" s="262"/>
      <c r="H10" s="262"/>
      <c r="I10" s="262"/>
      <c r="J10" s="262"/>
      <c r="K10" s="262"/>
      <c r="L10" s="262"/>
      <c r="M10" s="262"/>
      <c r="N10" s="262"/>
      <c r="O10" s="212">
        <f>SUM('2.Heat Targets'!E58,'2.Heat Targets'!E61,'2.Heat Targets'!E64,'2.Heat Targets'!E67)</f>
        <v>0.79446187146813774</v>
      </c>
    </row>
    <row r="11" spans="1:15" ht="42.75" customHeight="1" x14ac:dyDescent="0.25">
      <c r="B11" s="54"/>
      <c r="C11" s="59"/>
      <c r="D11" s="33" t="s">
        <v>58</v>
      </c>
      <c r="E11" s="262" t="s">
        <v>86</v>
      </c>
      <c r="F11" s="262"/>
      <c r="G11" s="262"/>
      <c r="H11" s="262"/>
      <c r="I11" s="262"/>
      <c r="J11" s="262"/>
      <c r="K11" s="262"/>
      <c r="L11" s="262"/>
      <c r="M11" s="262"/>
      <c r="N11" s="262"/>
    </row>
    <row r="12" spans="1:15" ht="42.75" customHeight="1" x14ac:dyDescent="0.25">
      <c r="B12" s="56"/>
      <c r="C12" s="60"/>
      <c r="D12" s="34">
        <v>0.26</v>
      </c>
      <c r="E12" s="262" t="s">
        <v>83</v>
      </c>
      <c r="F12" s="262"/>
      <c r="G12" s="262"/>
      <c r="H12" s="262"/>
      <c r="I12" s="262"/>
      <c r="J12" s="262"/>
      <c r="K12" s="262"/>
      <c r="L12" s="262"/>
      <c r="M12" s="262"/>
      <c r="N12" s="262"/>
    </row>
    <row r="13" spans="1:15" ht="42.75" customHeight="1" x14ac:dyDescent="0.25">
      <c r="B13" s="56"/>
      <c r="C13" s="60"/>
      <c r="D13" s="34">
        <v>0.5</v>
      </c>
      <c r="E13" s="262" t="s">
        <v>84</v>
      </c>
      <c r="F13" s="262"/>
      <c r="G13" s="262"/>
      <c r="H13" s="262"/>
      <c r="I13" s="262"/>
      <c r="J13" s="262"/>
      <c r="K13" s="262"/>
      <c r="L13" s="262"/>
      <c r="M13" s="262"/>
      <c r="N13" s="262"/>
    </row>
    <row r="14" spans="1:15" ht="42.75" customHeight="1" x14ac:dyDescent="0.25">
      <c r="B14" s="56"/>
      <c r="C14" s="60"/>
      <c r="D14" s="34">
        <v>0.2</v>
      </c>
      <c r="E14" s="262" t="s">
        <v>85</v>
      </c>
      <c r="F14" s="262"/>
      <c r="G14" s="262"/>
      <c r="H14" s="262"/>
      <c r="I14" s="262"/>
      <c r="J14" s="262"/>
      <c r="K14" s="262"/>
      <c r="L14" s="262"/>
      <c r="M14" s="262"/>
      <c r="N14" s="262"/>
    </row>
    <row r="15" spans="1:15" ht="42.75" customHeight="1" x14ac:dyDescent="0.25">
      <c r="B15" s="56"/>
      <c r="C15" s="60"/>
      <c r="D15" s="35">
        <v>2.2999999999999998</v>
      </c>
      <c r="E15" s="262" t="s">
        <v>87</v>
      </c>
      <c r="F15" s="262"/>
      <c r="G15" s="262"/>
      <c r="H15" s="262"/>
      <c r="I15" s="262"/>
      <c r="J15" s="262"/>
      <c r="K15" s="262"/>
      <c r="L15" s="262"/>
      <c r="M15" s="262"/>
      <c r="N15" s="262"/>
    </row>
    <row r="16" spans="1:15" ht="42.75" customHeight="1" x14ac:dyDescent="0.25">
      <c r="B16" s="56"/>
      <c r="C16" s="60"/>
      <c r="D16" s="34">
        <f>(20000*1.25)/257000</f>
        <v>9.727626459143969E-2</v>
      </c>
      <c r="E16" s="262" t="s">
        <v>93</v>
      </c>
      <c r="F16" s="262"/>
      <c r="G16" s="262"/>
      <c r="H16" s="262"/>
      <c r="I16" s="262"/>
      <c r="J16" s="262"/>
      <c r="K16" s="262"/>
      <c r="L16" s="262"/>
      <c r="M16" s="262"/>
      <c r="N16" s="262"/>
    </row>
    <row r="17" spans="1:17" x14ac:dyDescent="0.25">
      <c r="B17" s="56"/>
      <c r="C17" s="27"/>
      <c r="F17" s="26"/>
      <c r="G17" s="27"/>
      <c r="H17" s="27"/>
      <c r="I17" s="27"/>
      <c r="J17" s="27"/>
      <c r="K17" s="27"/>
      <c r="L17" s="27"/>
    </row>
    <row r="18" spans="1:17" ht="42.75" customHeight="1" x14ac:dyDescent="0.25">
      <c r="B18" s="55">
        <f>B8*B10</f>
        <v>368660.10000000003</v>
      </c>
      <c r="C18" s="261" t="s">
        <v>90</v>
      </c>
      <c r="D18" s="257"/>
      <c r="E18" s="257"/>
      <c r="F18" s="257"/>
      <c r="G18" s="257"/>
      <c r="H18" s="257"/>
      <c r="I18" s="257"/>
      <c r="J18" s="257"/>
      <c r="K18" s="257"/>
      <c r="L18" s="257"/>
      <c r="M18" s="257"/>
      <c r="N18" s="25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298</v>
      </c>
      <c r="C22" s="258" t="s">
        <v>540</v>
      </c>
      <c r="D22" s="256"/>
      <c r="E22" s="256"/>
      <c r="F22" s="256"/>
      <c r="G22" s="256"/>
      <c r="H22" s="256"/>
      <c r="I22" s="256"/>
      <c r="J22" s="256"/>
      <c r="K22" s="256"/>
      <c r="L22" s="256"/>
      <c r="M22" s="256"/>
      <c r="N22" s="256"/>
    </row>
    <row r="23" spans="1:17" s="58" customFormat="1" ht="32.25" customHeight="1" x14ac:dyDescent="0.25">
      <c r="A23" s="54"/>
      <c r="B23" s="54"/>
      <c r="D23" s="58" t="s">
        <v>60</v>
      </c>
      <c r="E23" s="28" t="s">
        <v>88</v>
      </c>
      <c r="G23" s="58" t="s">
        <v>89</v>
      </c>
    </row>
    <row r="24" spans="1:17" ht="78" customHeight="1" x14ac:dyDescent="0.25">
      <c r="A24" s="54">
        <v>2</v>
      </c>
      <c r="B24" s="36">
        <f ca="1">L41</f>
        <v>704.1665799004187</v>
      </c>
      <c r="C24" s="264" t="s">
        <v>541</v>
      </c>
      <c r="D24" s="265"/>
      <c r="E24" s="265"/>
      <c r="F24" s="265"/>
      <c r="G24" s="265"/>
      <c r="H24" s="265"/>
      <c r="I24" s="265"/>
      <c r="J24" s="265"/>
      <c r="K24" s="265"/>
      <c r="L24" s="265"/>
      <c r="M24" s="265"/>
      <c r="N24" s="265"/>
      <c r="O24" s="212">
        <f ca="1">SUM('2.Heat Targets'!E76,'2.Heat Targets'!E79,'2.Heat Targets'!E82,'2.Heat Targets'!E85)</f>
        <v>0.70102616710384658</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17</v>
      </c>
      <c r="L27" s="39">
        <f t="shared" ref="L27:L40" ca="1" si="1">IF(K27="","",K27/$K$41)</f>
        <v>5.7046979865771813E-2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70</v>
      </c>
      <c r="L28" s="41">
        <f t="shared" ca="1" si="1"/>
        <v>0.2348993288590604</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12</v>
      </c>
      <c r="L29" s="41">
        <f t="shared" ca="1" si="1"/>
        <v>4.0268456375838924E-2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10</v>
      </c>
      <c r="L30" s="41">
        <f t="shared" ca="1" si="1"/>
        <v>3.3557046979865772E-2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21</v>
      </c>
      <c r="L31" s="41">
        <f t="shared" ca="1" si="1"/>
        <v>7.0469798657718116E-2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7</v>
      </c>
      <c r="L32" s="41">
        <f t="shared" ca="1" si="1"/>
        <v>2.3489932885906041E-2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36</v>
      </c>
      <c r="L33" s="41">
        <f t="shared" ca="1" si="1"/>
        <v>0.12080536912751678</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18</v>
      </c>
      <c r="L35" s="41">
        <f t="shared" ca="1" si="1"/>
        <v>6.0402684563758392E-2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9</v>
      </c>
      <c r="L36" s="41">
        <f t="shared" ca="1" si="1"/>
        <v>3.0201342281879196E-2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36</v>
      </c>
      <c r="L37" s="41">
        <f t="shared" ca="1" si="1"/>
        <v>0.12080536912751678</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7</v>
      </c>
      <c r="L38" s="41">
        <f t="shared" ca="1" si="1"/>
        <v>2.3489932885906041E-2</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27</v>
      </c>
      <c r="L39" s="41">
        <f t="shared" ca="1" si="1"/>
        <v>9.0604026845637578E-2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28</v>
      </c>
      <c r="L40" s="41">
        <f t="shared" ca="1" si="1"/>
        <v>9.3959731543624164E-2</v>
      </c>
      <c r="Q40" s="23"/>
    </row>
    <row r="41" spans="2:19" ht="33" customHeight="1" x14ac:dyDescent="0.25">
      <c r="B41" s="54"/>
      <c r="D41" s="42"/>
      <c r="E41" s="185">
        <f>SUM(E27:E40)</f>
        <v>18617</v>
      </c>
      <c r="F41" s="185"/>
      <c r="G41" s="185">
        <f>SUM(G27:G40)</f>
        <v>201453</v>
      </c>
      <c r="H41" s="43"/>
      <c r="I41" s="44">
        <v>13000000</v>
      </c>
      <c r="J41" s="43"/>
      <c r="K41" s="185">
        <f ca="1">SUM(K27:K40)</f>
        <v>298</v>
      </c>
      <c r="L41" s="45">
        <f ca="1">SUMPRODUCT(J27:J40,L27:L40)</f>
        <v>704.1665799004187</v>
      </c>
      <c r="M41" s="268" t="s">
        <v>542</v>
      </c>
      <c r="N41" s="269"/>
      <c r="O41" s="269"/>
      <c r="P41" s="269"/>
      <c r="Q41" s="269"/>
      <c r="R41" s="269"/>
      <c r="S41" s="269"/>
    </row>
    <row r="42" spans="2:19" ht="22.5" customHeight="1" x14ac:dyDescent="0.25">
      <c r="B42" s="54"/>
    </row>
    <row r="43" spans="2:19" ht="37.5" customHeight="1" x14ac:dyDescent="0.25">
      <c r="B43" s="55">
        <f ca="1">B22*B24</f>
        <v>209841.64081032478</v>
      </c>
      <c r="C43" s="261" t="s">
        <v>488</v>
      </c>
      <c r="D43" s="257"/>
      <c r="E43" s="257"/>
      <c r="F43" s="257"/>
      <c r="G43" s="257"/>
      <c r="H43" s="257"/>
      <c r="I43" s="257"/>
      <c r="J43" s="257"/>
      <c r="K43" s="257"/>
      <c r="L43" s="257"/>
      <c r="M43" s="257"/>
      <c r="N43" s="257"/>
    </row>
    <row r="45" spans="2:19" ht="37.5" customHeight="1" x14ac:dyDescent="0.25">
      <c r="B45" s="194">
        <f ca="1">SUMPRODUCT(K27:K40,H27:H40)/SUMPRODUCT(E27:E40,H27:H40)</f>
        <v>1.7530477311312326E-2</v>
      </c>
      <c r="C45" s="256" t="s">
        <v>489</v>
      </c>
      <c r="D45" s="256"/>
      <c r="E45" s="256"/>
      <c r="F45" s="256"/>
      <c r="G45" s="256"/>
      <c r="H45" s="256"/>
      <c r="I45" s="256"/>
      <c r="J45" s="256"/>
      <c r="K45" s="256"/>
      <c r="L45" s="256"/>
      <c r="M45" s="256"/>
      <c r="N45" s="256"/>
      <c r="O45" s="256"/>
    </row>
    <row r="52" spans="4:4" x14ac:dyDescent="0.25">
      <c r="D52" s="23"/>
    </row>
  </sheetData>
  <mergeCells count="17">
    <mergeCell ref="E14:N14"/>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76" t="s">
        <v>491</v>
      </c>
      <c r="C4" s="277"/>
      <c r="D4" s="277"/>
      <c r="E4" s="277"/>
      <c r="F4" s="277"/>
      <c r="G4" s="277"/>
      <c r="H4" s="277"/>
      <c r="I4" s="277"/>
      <c r="J4" s="277"/>
      <c r="K4" s="277"/>
      <c r="L4" s="277"/>
      <c r="M4" s="277"/>
      <c r="N4" s="278"/>
    </row>
    <row r="5" spans="2:15" ht="19.5" customHeight="1" x14ac:dyDescent="0.25">
      <c r="B5" s="279"/>
      <c r="C5" s="280"/>
      <c r="D5" s="280"/>
      <c r="E5" s="280"/>
      <c r="F5" s="280"/>
      <c r="G5" s="280"/>
      <c r="H5" s="280"/>
      <c r="I5" s="280"/>
      <c r="J5" s="280"/>
      <c r="K5" s="280"/>
      <c r="L5" s="280"/>
      <c r="M5" s="280"/>
      <c r="N5" s="281"/>
    </row>
    <row r="6" spans="2:15" ht="19.5" customHeight="1" x14ac:dyDescent="0.25">
      <c r="B6" s="282"/>
      <c r="C6" s="283"/>
      <c r="D6" s="283"/>
      <c r="E6" s="283"/>
      <c r="F6" s="283"/>
      <c r="G6" s="283"/>
      <c r="H6" s="283"/>
      <c r="I6" s="283"/>
      <c r="J6" s="283"/>
      <c r="K6" s="283"/>
      <c r="L6" s="283"/>
      <c r="M6" s="283"/>
      <c r="N6" s="28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85" t="s">
        <v>150</v>
      </c>
      <c r="N11" s="286"/>
      <c r="O11" s="287"/>
    </row>
    <row r="12" spans="2:15" x14ac:dyDescent="0.25">
      <c r="B12" s="1">
        <v>100</v>
      </c>
      <c r="C12" s="2" t="s">
        <v>99</v>
      </c>
      <c r="D12" s="2"/>
      <c r="E12" s="2"/>
      <c r="F12" s="2"/>
      <c r="G12" s="2"/>
      <c r="H12" s="2"/>
      <c r="I12" s="2"/>
      <c r="J12" s="2"/>
      <c r="K12" s="3"/>
      <c r="M12" s="288"/>
      <c r="N12" s="289"/>
      <c r="O12" s="29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85" t="s">
        <v>168</v>
      </c>
      <c r="N14" s="286"/>
      <c r="O14" s="287"/>
    </row>
    <row r="15" spans="2:15" x14ac:dyDescent="0.25">
      <c r="B15" s="1">
        <v>100</v>
      </c>
      <c r="C15" s="114" t="s">
        <v>164</v>
      </c>
      <c r="D15" s="2"/>
      <c r="E15" s="2"/>
      <c r="F15" s="2"/>
      <c r="G15" s="2"/>
      <c r="H15" s="2"/>
      <c r="I15" s="2"/>
      <c r="J15" s="2"/>
      <c r="K15" s="3"/>
      <c r="M15" s="288"/>
      <c r="N15" s="289"/>
      <c r="O15" s="29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85" t="s">
        <v>169</v>
      </c>
      <c r="N17" s="286"/>
      <c r="O17" s="287"/>
    </row>
    <row r="18" spans="2:18" x14ac:dyDescent="0.25">
      <c r="B18" s="1">
        <v>100</v>
      </c>
      <c r="C18" s="2" t="s">
        <v>161</v>
      </c>
      <c r="D18" s="2"/>
      <c r="E18" s="2"/>
      <c r="F18" s="2"/>
      <c r="G18" s="2"/>
      <c r="H18" s="2"/>
      <c r="I18" s="2"/>
      <c r="J18" s="2"/>
      <c r="K18" s="3"/>
      <c r="M18" s="288"/>
      <c r="N18" s="289"/>
      <c r="O18" s="29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597269.00775193807</v>
      </c>
      <c r="C24" s="129">
        <f>'LEAP Region'!C14*1000</f>
        <v>500757.28682170552</v>
      </c>
      <c r="D24" s="129">
        <f>'LEAP Region'!D14*1000</f>
        <v>413755.84496124042</v>
      </c>
      <c r="E24" s="130">
        <f>'LEAP Region'!E14*1000</f>
        <v>282373.10077519383</v>
      </c>
      <c r="G24" s="291" t="s">
        <v>122</v>
      </c>
      <c r="H24" s="291"/>
      <c r="I24" s="291"/>
      <c r="J24" s="291"/>
      <c r="K24" s="291"/>
      <c r="L24" s="291"/>
      <c r="M24" s="291"/>
      <c r="N24" s="291"/>
    </row>
    <row r="25" spans="2:18" ht="56.25" customHeight="1" x14ac:dyDescent="0.25">
      <c r="B25" s="178">
        <f>('LEAP Region'!B7+'LEAP Region'!B8)*(2.4-1)*1000</f>
        <v>4766.8806201550397</v>
      </c>
      <c r="C25" s="179">
        <f>('LEAP Region'!C7+'LEAP Region'!C8)*(2.6-1)*1000</f>
        <v>25548.601550387601</v>
      </c>
      <c r="D25" s="179">
        <f>('LEAP Region'!D7+'LEAP Region'!D8)*(2.8-1)*1000</f>
        <v>50298.809302325586</v>
      </c>
      <c r="E25" s="180">
        <f>('LEAP Region'!E7+'LEAP Region'!E8)*(2.3-1)*1000</f>
        <v>53879.840310077525</v>
      </c>
      <c r="G25" s="291" t="s">
        <v>178</v>
      </c>
      <c r="H25" s="291"/>
      <c r="I25" s="291"/>
      <c r="J25" s="291"/>
      <c r="K25" s="291"/>
      <c r="L25" s="291"/>
      <c r="M25" s="291"/>
      <c r="N25" s="291"/>
    </row>
    <row r="26" spans="2:18" ht="56.25" customHeight="1" x14ac:dyDescent="0.25">
      <c r="B26" s="128">
        <f>'LEAP Region'!H14*1000</f>
        <v>581888.18604651163</v>
      </c>
      <c r="C26" s="129">
        <f>'LEAP Region'!I14*1000</f>
        <v>475044.31007751945</v>
      </c>
      <c r="D26" s="129">
        <f>'LEAP Region'!J14*1000</f>
        <v>359277.20930232562</v>
      </c>
      <c r="E26" s="130">
        <f>'LEAP Region'!K14*1000</f>
        <v>202416.31007751942</v>
      </c>
      <c r="G26" s="291" t="s">
        <v>123</v>
      </c>
      <c r="H26" s="291"/>
      <c r="I26" s="291"/>
      <c r="J26" s="291"/>
      <c r="K26" s="291"/>
      <c r="L26" s="291"/>
      <c r="M26" s="291"/>
      <c r="N26" s="291"/>
    </row>
    <row r="27" spans="2:18" ht="56.25" customHeight="1" thickBot="1" x14ac:dyDescent="0.3">
      <c r="B27" s="181">
        <f>('LEAP Region'!H7+'LEAP Region'!H8)*(2.4-1)*1000</f>
        <v>6410.6325581395358</v>
      </c>
      <c r="C27" s="182">
        <f>('LEAP Region'!I7+'LEAP Region'!I8)*(2.6-1)*1000</f>
        <v>29305.748837209307</v>
      </c>
      <c r="D27" s="182">
        <f>('LEAP Region'!J7+'LEAP Region'!J8)*(2.8-1)*1000</f>
        <v>66571.953488372106</v>
      </c>
      <c r="E27" s="183">
        <f>('LEAP Region'!K7+'LEAP Region'!K8)*(3-1)*1000</f>
        <v>92989.395348837235</v>
      </c>
      <c r="G27" s="291" t="s">
        <v>178</v>
      </c>
      <c r="H27" s="291"/>
      <c r="I27" s="291"/>
      <c r="J27" s="291"/>
      <c r="K27" s="291"/>
      <c r="L27" s="291"/>
      <c r="M27" s="291"/>
      <c r="N27" s="291"/>
    </row>
    <row r="28" spans="2:18" ht="56.25" customHeight="1" thickTop="1" x14ac:dyDescent="0.25">
      <c r="B28" s="128">
        <f>B24+B25-B26-B27</f>
        <v>13737.069767441921</v>
      </c>
      <c r="C28" s="129">
        <f>C24+C25-C26-C27</f>
        <v>21955.829457364336</v>
      </c>
      <c r="D28" s="129">
        <f>D24+D25-D26-D27</f>
        <v>38205.491472868292</v>
      </c>
      <c r="E28" s="130">
        <f>E24+E25-E26-E27</f>
        <v>40847.235658914709</v>
      </c>
      <c r="G28" s="291" t="s">
        <v>177</v>
      </c>
      <c r="H28" s="291"/>
      <c r="I28" s="291"/>
      <c r="J28" s="291"/>
      <c r="K28" s="291"/>
      <c r="L28" s="291"/>
      <c r="M28" s="291"/>
      <c r="N28" s="291"/>
    </row>
    <row r="29" spans="2:18" ht="56.25" customHeight="1" x14ac:dyDescent="0.25">
      <c r="B29" s="270">
        <f>0.25*'1.Current Heat'!B10</f>
        <v>29.037500000000001</v>
      </c>
      <c r="C29" s="271"/>
      <c r="D29" s="271"/>
      <c r="E29" s="272"/>
      <c r="G29" s="291" t="s">
        <v>124</v>
      </c>
      <c r="H29" s="291"/>
      <c r="I29" s="291"/>
      <c r="J29" s="291"/>
      <c r="K29" s="291"/>
      <c r="L29" s="291"/>
      <c r="M29" s="291"/>
      <c r="N29" s="291"/>
      <c r="R29">
        <v>60</v>
      </c>
    </row>
    <row r="30" spans="2:18" ht="56.25" customHeight="1" x14ac:dyDescent="0.25">
      <c r="B30" s="128">
        <f>B28/$B$29</f>
        <v>473.08031915426329</v>
      </c>
      <c r="C30" s="129">
        <f>C28/$B$29</f>
        <v>756.11982634057119</v>
      </c>
      <c r="D30" s="129">
        <f>D28/$B$29</f>
        <v>1315.7293662632214</v>
      </c>
      <c r="E30" s="130">
        <f>E28/$B$29</f>
        <v>1406.7063507159608</v>
      </c>
      <c r="G30" s="291" t="s">
        <v>125</v>
      </c>
      <c r="H30" s="291"/>
      <c r="I30" s="291"/>
      <c r="J30" s="291"/>
      <c r="K30" s="291"/>
      <c r="L30" s="291"/>
      <c r="M30" s="291"/>
      <c r="N30" s="291"/>
      <c r="R30">
        <v>96</v>
      </c>
    </row>
    <row r="31" spans="2:18" ht="56.25" customHeight="1" x14ac:dyDescent="0.25">
      <c r="B31" s="131">
        <f>'1.Current Heat'!B8</f>
        <v>3174</v>
      </c>
      <c r="C31" s="132">
        <f t="shared" ref="C31:E31" si="0">B31*1.06</f>
        <v>3364.44</v>
      </c>
      <c r="D31" s="132">
        <f t="shared" si="0"/>
        <v>3566.3064000000004</v>
      </c>
      <c r="E31" s="133">
        <f t="shared" si="0"/>
        <v>3780.2847840000004</v>
      </c>
      <c r="G31" s="291" t="s">
        <v>126</v>
      </c>
      <c r="H31" s="291"/>
      <c r="I31" s="291"/>
      <c r="J31" s="291"/>
      <c r="K31" s="291"/>
      <c r="L31" s="291"/>
      <c r="M31" s="291"/>
      <c r="N31" s="291"/>
      <c r="O31" s="186">
        <f>(E31/B31)^(1/(E23-B23))-1</f>
        <v>5.006971033976404E-3</v>
      </c>
      <c r="R31">
        <f>R29+R30</f>
        <v>156</v>
      </c>
    </row>
    <row r="32" spans="2:18" ht="56.25" customHeight="1" x14ac:dyDescent="0.25">
      <c r="B32" s="134">
        <f>B30/B31</f>
        <v>0.14904861977134951</v>
      </c>
      <c r="C32" s="135">
        <f>C30/C31</f>
        <v>0.22473868647994055</v>
      </c>
      <c r="D32" s="135">
        <f>D30/D31</f>
        <v>0.36893334971533048</v>
      </c>
      <c r="E32" s="136">
        <f>E30/E31</f>
        <v>0.37211650208730956</v>
      </c>
      <c r="G32" s="291" t="s">
        <v>183</v>
      </c>
      <c r="H32" s="291"/>
      <c r="I32" s="291"/>
      <c r="J32" s="291"/>
      <c r="K32" s="291"/>
      <c r="L32" s="291"/>
      <c r="M32" s="291"/>
      <c r="N32" s="29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184028.78684030162</v>
      </c>
      <c r="C37" s="129">
        <f>('LEAP Region'!O11-'LEAP Region'!O6)*1000</f>
        <v>175041.80945853324</v>
      </c>
      <c r="D37" s="129">
        <f>('LEAP Region'!P11-'LEAP Region'!P6)*1000</f>
        <v>161969.8423577793</v>
      </c>
      <c r="E37" s="130">
        <f>('LEAP Region'!Q11-'LEAP Region'!Q6)*1000</f>
        <v>143791.63810829341</v>
      </c>
      <c r="G37" s="291" t="s">
        <v>179</v>
      </c>
      <c r="H37" s="291"/>
      <c r="I37" s="291"/>
      <c r="J37" s="291"/>
      <c r="K37" s="291"/>
      <c r="L37" s="291"/>
      <c r="M37" s="291"/>
      <c r="N37" s="291"/>
    </row>
    <row r="38" spans="2:34" ht="56.25" customHeight="1" x14ac:dyDescent="0.25">
      <c r="B38" s="128">
        <f>'LEAP Region'!N6*1000</f>
        <v>154004.11240575739</v>
      </c>
      <c r="C38" s="129">
        <f>'LEAP Region'!O6*1000</f>
        <v>163808.08773132283</v>
      </c>
      <c r="D38" s="129">
        <f>'LEAP Region'!P6*1000</f>
        <v>170956.81973954762</v>
      </c>
      <c r="E38" s="130">
        <f>'LEAP Region'!Q6*1000</f>
        <v>186071.28169979437</v>
      </c>
      <c r="F38" s="184"/>
      <c r="G38" s="291" t="s">
        <v>97</v>
      </c>
      <c r="H38" s="291"/>
      <c r="I38" s="291"/>
      <c r="J38" s="291"/>
      <c r="K38" s="291"/>
      <c r="L38" s="291"/>
      <c r="M38" s="291"/>
      <c r="N38" s="291"/>
    </row>
    <row r="39" spans="2:34" ht="56.25" customHeight="1" x14ac:dyDescent="0.25">
      <c r="B39" s="128">
        <f>0.005*B38</f>
        <v>770.02056202878703</v>
      </c>
      <c r="C39" s="129">
        <f>B39-(($B$39-$E$39)/3)</f>
        <v>3614.5350696824312</v>
      </c>
      <c r="D39" s="129">
        <f>C39-(($B$39-$E$39)/3)</f>
        <v>6459.0495773360753</v>
      </c>
      <c r="E39" s="130">
        <f>0.05*E38</f>
        <v>9303.564084989719</v>
      </c>
      <c r="G39" s="291" t="s">
        <v>195</v>
      </c>
      <c r="H39" s="291"/>
      <c r="I39" s="291"/>
      <c r="J39" s="291"/>
      <c r="K39" s="291"/>
      <c r="L39" s="291"/>
      <c r="M39" s="291"/>
      <c r="N39" s="291"/>
      <c r="V39" s="21"/>
      <c r="W39" s="21"/>
      <c r="X39" s="21"/>
      <c r="Y39" s="21"/>
      <c r="AH39" s="21"/>
    </row>
    <row r="40" spans="2:34" ht="56.25" customHeight="1" x14ac:dyDescent="0.25">
      <c r="B40" s="142">
        <f>B39*(2.4-1)</f>
        <v>1078.0287868403018</v>
      </c>
      <c r="C40" s="143">
        <f>C39*(2.6-1)</f>
        <v>5783.2561114918899</v>
      </c>
      <c r="D40" s="143">
        <f>D39*(2.8-1)</f>
        <v>11626.289239204934</v>
      </c>
      <c r="E40" s="144">
        <f>E39*(3-1)</f>
        <v>18607.128169979438</v>
      </c>
      <c r="G40" s="291" t="s">
        <v>196</v>
      </c>
      <c r="H40" s="291"/>
      <c r="I40" s="291"/>
      <c r="J40" s="291"/>
      <c r="K40" s="291"/>
      <c r="L40" s="291"/>
      <c r="M40" s="291"/>
      <c r="N40" s="291"/>
      <c r="V40" s="21"/>
      <c r="W40" s="21"/>
      <c r="X40" s="21"/>
      <c r="Y40" s="21"/>
      <c r="AH40" s="21"/>
    </row>
    <row r="41" spans="2:34" ht="56.25" customHeight="1" x14ac:dyDescent="0.25">
      <c r="B41" s="128">
        <f>('LEAP Region'!T11-'LEAP Region'!T6)*1000</f>
        <v>183416.03838245373</v>
      </c>
      <c r="C41" s="129">
        <f>('LEAP Region'!U11-'LEAP Region'!U6)*1000</f>
        <v>170548.32076764907</v>
      </c>
      <c r="D41" s="129">
        <f>('LEAP Region'!V11-'LEAP Region'!V6)*1000</f>
        <v>153391.36394790956</v>
      </c>
      <c r="E41" s="130">
        <f>('LEAP Region'!W11-'LEAP Region'!W6)*1000</f>
        <v>128677.17614804664</v>
      </c>
      <c r="G41" s="291" t="s">
        <v>197</v>
      </c>
      <c r="H41" s="291"/>
      <c r="I41" s="291"/>
      <c r="J41" s="291"/>
      <c r="K41" s="291"/>
      <c r="L41" s="291"/>
      <c r="M41" s="291"/>
      <c r="N41" s="291"/>
      <c r="AH41" s="21"/>
    </row>
    <row r="42" spans="2:34" ht="56.25" customHeight="1" x14ac:dyDescent="0.25">
      <c r="B42" s="128">
        <f>'LEAP Region'!T6*1000</f>
        <v>151961.61754626458</v>
      </c>
      <c r="C42" s="129">
        <f>'LEAP Region'!U6*1000</f>
        <v>150531.8711446196</v>
      </c>
      <c r="D42" s="129">
        <f>'LEAP Region'!V6*1000</f>
        <v>145834.13296778616</v>
      </c>
      <c r="E42" s="130">
        <f>'LEAP Region'!W6*1000</f>
        <v>141340.64427690199</v>
      </c>
      <c r="G42" s="291" t="s">
        <v>98</v>
      </c>
      <c r="H42" s="291"/>
      <c r="I42" s="291"/>
      <c r="J42" s="291"/>
      <c r="K42" s="291"/>
      <c r="L42" s="291"/>
      <c r="M42" s="291"/>
      <c r="N42" s="291"/>
      <c r="V42" s="29"/>
      <c r="W42" s="29"/>
      <c r="X42" s="29"/>
      <c r="Y42" s="29"/>
      <c r="AH42" s="21"/>
    </row>
    <row r="43" spans="2:34" ht="56.25" customHeight="1" x14ac:dyDescent="0.25">
      <c r="B43" s="128">
        <f>B39</f>
        <v>770.02056202878703</v>
      </c>
      <c r="C43" s="129">
        <f>B43-(($B$43-$E$43)/3)</f>
        <v>4337.8051938161625</v>
      </c>
      <c r="D43" s="129">
        <f>C43-(($B$43-$E$43)/3)</f>
        <v>7905.589825603538</v>
      </c>
      <c r="E43" s="130">
        <f>0.8*((E37+E39+E40-E41)/3)</f>
        <v>11473.374457390913</v>
      </c>
      <c r="G43" s="291" t="s">
        <v>142</v>
      </c>
      <c r="H43" s="291"/>
      <c r="I43" s="291"/>
      <c r="J43" s="291"/>
      <c r="K43" s="291"/>
      <c r="L43" s="291"/>
      <c r="M43" s="291"/>
      <c r="N43" s="291"/>
      <c r="AH43" s="21"/>
    </row>
    <row r="44" spans="2:34" ht="56.25" customHeight="1" x14ac:dyDescent="0.25">
      <c r="B44" s="128">
        <f>B43*(2.4-1)</f>
        <v>1078.0287868403018</v>
      </c>
      <c r="C44" s="129">
        <f>C43*(2.6-1)</f>
        <v>6940.4883101058604</v>
      </c>
      <c r="D44" s="129">
        <f>D43*(2.8-1)</f>
        <v>14230.061686086367</v>
      </c>
      <c r="E44" s="130">
        <f>E43*(3-1)</f>
        <v>22946.748914781827</v>
      </c>
      <c r="F44" s="21"/>
      <c r="G44" s="291" t="s">
        <v>96</v>
      </c>
      <c r="H44" s="291"/>
      <c r="I44" s="291"/>
      <c r="J44" s="291"/>
      <c r="K44" s="291"/>
      <c r="L44" s="291"/>
      <c r="M44" s="291"/>
      <c r="N44" s="291"/>
      <c r="R44">
        <v>33</v>
      </c>
      <c r="V44" s="21"/>
      <c r="W44" s="21"/>
      <c r="X44" s="21"/>
      <c r="Y44" s="21"/>
      <c r="AH44" s="21"/>
    </row>
    <row r="45" spans="2:34" ht="56.25" customHeight="1" x14ac:dyDescent="0.25">
      <c r="B45" s="128">
        <f>B37+B39+B40-B41-B43-B44</f>
        <v>612.7484578478718</v>
      </c>
      <c r="C45" s="129">
        <f>C37+C39+C40-C41-C43-C44</f>
        <v>2612.9863681364604</v>
      </c>
      <c r="D45" s="129">
        <f>D37+D39+D40-D41-D43-D44</f>
        <v>4528.1657147208534</v>
      </c>
      <c r="E45" s="130">
        <f>E37+E39+E40-E41-E43-E44</f>
        <v>8605.0308430431833</v>
      </c>
      <c r="F45" s="92"/>
      <c r="G45" s="291" t="s">
        <v>149</v>
      </c>
      <c r="H45" s="291"/>
      <c r="I45" s="291"/>
      <c r="J45" s="291"/>
      <c r="K45" s="291"/>
      <c r="L45" s="291"/>
      <c r="M45" s="291"/>
      <c r="N45" s="291"/>
      <c r="R45">
        <v>6</v>
      </c>
      <c r="AH45" s="21"/>
    </row>
    <row r="46" spans="2:34" ht="56.25" customHeight="1" x14ac:dyDescent="0.25">
      <c r="B46" s="273">
        <f ca="1">0.2*'1.Current Heat'!B24</f>
        <v>140.83331598008374</v>
      </c>
      <c r="C46" s="274"/>
      <c r="D46" s="274"/>
      <c r="E46" s="275"/>
      <c r="G46" s="291" t="s">
        <v>127</v>
      </c>
      <c r="H46" s="291"/>
      <c r="I46" s="291"/>
      <c r="J46" s="291"/>
      <c r="K46" s="291"/>
      <c r="L46" s="291"/>
      <c r="M46" s="291"/>
      <c r="N46" s="291"/>
      <c r="R46">
        <f>R45/R44</f>
        <v>0.18181818181818182</v>
      </c>
      <c r="AH46" s="21"/>
    </row>
    <row r="47" spans="2:34" ht="56.25" customHeight="1" x14ac:dyDescent="0.25">
      <c r="B47" s="128">
        <f ca="1">B45/$B$46</f>
        <v>4.3508771598797331</v>
      </c>
      <c r="C47" s="129">
        <f ca="1">C45/$B$46</f>
        <v>18.553751645711316</v>
      </c>
      <c r="D47" s="129">
        <f ca="1">D45/$B$46</f>
        <v>32.152659924312331</v>
      </c>
      <c r="E47" s="130">
        <f ca="1">E45/$B$46</f>
        <v>61.100818248574669</v>
      </c>
      <c r="G47" s="291" t="s">
        <v>128</v>
      </c>
      <c r="H47" s="291"/>
      <c r="I47" s="291"/>
      <c r="J47" s="291"/>
      <c r="K47" s="291"/>
      <c r="L47" s="291"/>
      <c r="M47" s="291"/>
      <c r="N47" s="291"/>
    </row>
    <row r="48" spans="2:34" ht="56.25" customHeight="1" x14ac:dyDescent="0.25">
      <c r="B48" s="131">
        <f ca="1">'1.Current Heat'!B22</f>
        <v>298</v>
      </c>
      <c r="C48" s="132">
        <f t="shared" ref="C48:E48" ca="1" si="1">B48*1.06</f>
        <v>315.88</v>
      </c>
      <c r="D48" s="132">
        <f t="shared" ca="1" si="1"/>
        <v>334.83280000000002</v>
      </c>
      <c r="E48" s="133">
        <f t="shared" ca="1" si="1"/>
        <v>354.92276800000002</v>
      </c>
      <c r="G48" s="291" t="s">
        <v>194</v>
      </c>
      <c r="H48" s="291"/>
      <c r="I48" s="291"/>
      <c r="J48" s="291"/>
      <c r="K48" s="291"/>
      <c r="L48" s="291"/>
      <c r="M48" s="291"/>
      <c r="N48" s="291"/>
      <c r="O48" s="186">
        <f ca="1">(E48/B48)^(1/(E36-B36))-1</f>
        <v>5.006971033976404E-3</v>
      </c>
    </row>
    <row r="49" spans="1:14" ht="56.25" customHeight="1" x14ac:dyDescent="0.25">
      <c r="B49" s="134">
        <f ca="1">B47/B48</f>
        <v>1.4600258925770916E-2</v>
      </c>
      <c r="C49" s="135">
        <f ca="1">C47/C48</f>
        <v>5.8736709021499668E-2</v>
      </c>
      <c r="D49" s="135">
        <f ca="1">D47/D48</f>
        <v>9.6026016341028503E-2</v>
      </c>
      <c r="E49" s="136">
        <f ca="1">E47/E48</f>
        <v>0.17215243359246726</v>
      </c>
      <c r="G49" s="291" t="s">
        <v>182</v>
      </c>
      <c r="H49" s="291"/>
      <c r="I49" s="291"/>
      <c r="J49" s="291"/>
      <c r="K49" s="291"/>
      <c r="L49" s="291"/>
      <c r="M49" s="291"/>
      <c r="N49" s="29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116.15</v>
      </c>
      <c r="C54" s="147">
        <f>C32*($B$54-$B$29)+(1-C32)*$B$54</f>
        <v>109.62415039133873</v>
      </c>
      <c r="D54" s="147">
        <f>D32*($B$54-$B$29)+(1-D32)*$B$54</f>
        <v>105.43709785764111</v>
      </c>
      <c r="E54" s="148">
        <f>E32*($B$54-$B$29)+(1-E32)*$B$54</f>
        <v>105.34466707063974</v>
      </c>
      <c r="F54" s="1"/>
      <c r="G54" s="291" t="s">
        <v>109</v>
      </c>
      <c r="H54" s="291"/>
      <c r="I54" s="291"/>
      <c r="J54" s="291"/>
      <c r="K54" s="291"/>
      <c r="L54" s="291"/>
      <c r="M54" s="291"/>
      <c r="N54" s="291"/>
    </row>
    <row r="55" spans="1:14" ht="56.25" customHeight="1" x14ac:dyDescent="0.25">
      <c r="B55" s="149">
        <f>('LEAP Region'!H4+'LEAP Region'!H9+'LEAP Region'!H12)*1000</f>
        <v>214627.03875968995</v>
      </c>
      <c r="C55" s="150">
        <f>('LEAP Region'!I4+'LEAP Region'!I9+'LEAP Region'!I12)*1000</f>
        <v>155804.20155038763</v>
      </c>
      <c r="D55" s="150">
        <f>('LEAP Region'!J4+'LEAP Region'!J9+'LEAP Region'!J12)*1000</f>
        <v>99094.759689922503</v>
      </c>
      <c r="E55" s="151">
        <f>('LEAP Region'!K4+'LEAP Region'!K9+'LEAP Region'!K12)*1000</f>
        <v>14911.178294573647</v>
      </c>
      <c r="G55" s="291" t="s">
        <v>110</v>
      </c>
      <c r="H55" s="291"/>
      <c r="I55" s="291"/>
      <c r="J55" s="291"/>
      <c r="K55" s="291"/>
      <c r="L55" s="291"/>
      <c r="M55" s="291"/>
      <c r="N55" s="291"/>
    </row>
    <row r="56" spans="1:14" ht="56.25" customHeight="1" x14ac:dyDescent="0.25">
      <c r="B56" s="152">
        <f>'LEAP Region'!H4*1000/'2.Heat Targets'!B55</f>
        <v>7.6586433260393879E-3</v>
      </c>
      <c r="C56" s="153">
        <f>'LEAP Region'!I4*1000/'2.Heat Targets'!C55</f>
        <v>3.7678975131876409E-2</v>
      </c>
      <c r="D56" s="153">
        <f>'LEAP Region'!J4*1000/'2.Heat Targets'!D55</f>
        <v>9.7156398104265407E-2</v>
      </c>
      <c r="E56" s="154">
        <f>'LEAP Region'!K4*1000/'2.Heat Targets'!E55</f>
        <v>1</v>
      </c>
      <c r="G56" s="291" t="s">
        <v>137</v>
      </c>
      <c r="H56" s="291"/>
      <c r="I56" s="291"/>
      <c r="J56" s="291"/>
      <c r="K56" s="291"/>
      <c r="L56" s="291"/>
      <c r="M56" s="291"/>
      <c r="N56" s="291"/>
    </row>
    <row r="57" spans="1:14" ht="56.25" customHeight="1" x14ac:dyDescent="0.25">
      <c r="B57" s="128">
        <f>B55/B54</f>
        <v>1847.843639773482</v>
      </c>
      <c r="C57" s="129">
        <f>C55/C54</f>
        <v>1421.2580074207583</v>
      </c>
      <c r="D57" s="129">
        <f>D55/D54</f>
        <v>939.84718570040786</v>
      </c>
      <c r="E57" s="130">
        <f>E55/E54</f>
        <v>141.54658901313752</v>
      </c>
      <c r="G57" s="291" t="s">
        <v>111</v>
      </c>
      <c r="H57" s="291"/>
      <c r="I57" s="291"/>
      <c r="J57" s="291"/>
      <c r="K57" s="291"/>
      <c r="L57" s="291"/>
      <c r="M57" s="291"/>
      <c r="N57" s="291"/>
    </row>
    <row r="58" spans="1:14" ht="56.25" customHeight="1" x14ac:dyDescent="0.25">
      <c r="B58" s="134">
        <f>B57/B31</f>
        <v>0.58218136098723439</v>
      </c>
      <c r="C58" s="135">
        <f>C57/C31</f>
        <v>0.42243523659829224</v>
      </c>
      <c r="D58" s="135">
        <f>D57/D31</f>
        <v>0.26353517625417933</v>
      </c>
      <c r="E58" s="136">
        <f>E57/E31</f>
        <v>3.7443366598260364E-2</v>
      </c>
      <c r="G58" s="291" t="s">
        <v>130</v>
      </c>
      <c r="H58" s="291"/>
      <c r="I58" s="291"/>
      <c r="J58" s="291"/>
      <c r="K58" s="291"/>
      <c r="L58" s="291"/>
      <c r="M58" s="291"/>
      <c r="N58" s="291"/>
    </row>
    <row r="59" spans="1:14" ht="56.25" customHeight="1" x14ac:dyDescent="0.25">
      <c r="B59" s="149">
        <f>('LEAP Region'!H5+'LEAP Region'!H13)*1000</f>
        <v>255368.60465116284</v>
      </c>
      <c r="C59" s="150">
        <f>('LEAP Region'!I5+'LEAP Region'!I13)*1000</f>
        <v>214039.98449612409</v>
      </c>
      <c r="D59" s="150">
        <f>('LEAP Region'!J5+'LEAP Region'!J13)*1000</f>
        <v>169658.68217054266</v>
      </c>
      <c r="E59" s="151">
        <f>('LEAP Region'!K5+'LEAP Region'!K13)*1000</f>
        <v>122811.75193798452</v>
      </c>
      <c r="G59" s="291" t="s">
        <v>112</v>
      </c>
      <c r="H59" s="291"/>
      <c r="I59" s="291"/>
      <c r="J59" s="291"/>
      <c r="K59" s="291"/>
      <c r="L59" s="291"/>
      <c r="M59" s="291"/>
      <c r="N59" s="291"/>
    </row>
    <row r="60" spans="1:14" ht="56.25" customHeight="1" x14ac:dyDescent="0.25">
      <c r="A60" s="2"/>
      <c r="B60" s="128">
        <f>B59/B54</f>
        <v>2198.6104576079451</v>
      </c>
      <c r="C60" s="129">
        <f>C59/C54</f>
        <v>1952.4893349872214</v>
      </c>
      <c r="D60" s="129">
        <f>D59/D54</f>
        <v>1609.098558456267</v>
      </c>
      <c r="E60" s="130">
        <f>E59/E54</f>
        <v>1165.8089142341878</v>
      </c>
      <c r="G60" s="291" t="s">
        <v>140</v>
      </c>
      <c r="H60" s="291"/>
      <c r="I60" s="291"/>
      <c r="J60" s="291"/>
      <c r="K60" s="291"/>
      <c r="L60" s="291"/>
      <c r="M60" s="291"/>
      <c r="N60" s="291"/>
    </row>
    <row r="61" spans="1:14" ht="56.25" customHeight="1" x14ac:dyDescent="0.25">
      <c r="B61" s="134">
        <f>B60/B31</f>
        <v>0.69269390598864056</v>
      </c>
      <c r="C61" s="135">
        <f>C60/C31</f>
        <v>0.58033115020247683</v>
      </c>
      <c r="D61" s="135">
        <f>D60/D31</f>
        <v>0.45119470342095869</v>
      </c>
      <c r="E61" s="136">
        <f>E60/E31</f>
        <v>0.30839182253370351</v>
      </c>
      <c r="G61" s="291" t="s">
        <v>131</v>
      </c>
      <c r="H61" s="291"/>
      <c r="I61" s="291"/>
      <c r="J61" s="291"/>
      <c r="K61" s="291"/>
      <c r="L61" s="291"/>
      <c r="M61" s="291"/>
      <c r="N61" s="291"/>
    </row>
    <row r="62" spans="1:14" ht="56.25" customHeight="1" x14ac:dyDescent="0.25">
      <c r="B62" s="149">
        <f>('LEAP Region'!H7+'LEAP Region'!H8)*1000</f>
        <v>4579.0232558139542</v>
      </c>
      <c r="C62" s="150">
        <f>('LEAP Region'!I7+'LEAP Region'!I8)*1000</f>
        <v>18316.093023255817</v>
      </c>
      <c r="D62" s="150">
        <f>('LEAP Region'!J7+'LEAP Region'!J8)*1000</f>
        <v>36984.418604651168</v>
      </c>
      <c r="E62" s="151">
        <f>('LEAP Region'!K7+'LEAP Region'!K8)*1000</f>
        <v>46494.697674418618</v>
      </c>
      <c r="G62" s="291" t="s">
        <v>113</v>
      </c>
      <c r="H62" s="291"/>
      <c r="I62" s="291"/>
      <c r="J62" s="291"/>
      <c r="K62" s="291"/>
      <c r="L62" s="291"/>
      <c r="M62" s="291"/>
      <c r="N62" s="291"/>
    </row>
    <row r="63" spans="1:14" ht="56.25" customHeight="1" x14ac:dyDescent="0.25">
      <c r="B63" s="128">
        <f>B62/((0.7*B54)/2.4)</f>
        <v>135.1658054726461</v>
      </c>
      <c r="C63" s="129">
        <f>C62/((0.75*C54)/2.6)</f>
        <v>579.21351199182072</v>
      </c>
      <c r="D63" s="129">
        <f>D62/((0.8*D54)/2.8)</f>
        <v>1227.7032253965633</v>
      </c>
      <c r="E63" s="130">
        <f>E62/((0.85*E54)/3)</f>
        <v>1557.7336521316111</v>
      </c>
      <c r="F63" s="91"/>
      <c r="G63" s="291" t="s">
        <v>180</v>
      </c>
      <c r="H63" s="291"/>
      <c r="I63" s="291"/>
      <c r="J63" s="291"/>
      <c r="K63" s="291"/>
      <c r="L63" s="291"/>
      <c r="M63" s="291"/>
      <c r="N63" s="291"/>
    </row>
    <row r="64" spans="1:14" ht="56.25" customHeight="1" x14ac:dyDescent="0.25">
      <c r="B64" s="134">
        <f>B63/B31</f>
        <v>4.2585319934671108E-2</v>
      </c>
      <c r="C64" s="135">
        <f>C63/C31</f>
        <v>0.17215747999423997</v>
      </c>
      <c r="D64" s="135">
        <f>D63/D31</f>
        <v>0.34425063011875906</v>
      </c>
      <c r="E64" s="136">
        <f>E63/E31</f>
        <v>0.41206780471267557</v>
      </c>
      <c r="G64" s="291" t="s">
        <v>114</v>
      </c>
      <c r="H64" s="291"/>
      <c r="I64" s="291"/>
      <c r="J64" s="291"/>
      <c r="K64" s="291"/>
      <c r="L64" s="291"/>
      <c r="M64" s="291"/>
      <c r="N64" s="291"/>
    </row>
    <row r="65" spans="1:20" ht="56.25" customHeight="1" x14ac:dyDescent="0.25">
      <c r="B65" s="149">
        <f>('LEAP Region'!H10+'LEAP Region'!H11)*1000</f>
        <v>83009.472868217068</v>
      </c>
      <c r="C65" s="150">
        <f>('LEAP Region'!I10+'LEAP Region'!I11)*1000</f>
        <v>64928.20155038761</v>
      </c>
      <c r="D65" s="150">
        <f>('LEAP Region'!J10+'LEAP Region'!J11)*1000</f>
        <v>41563.441860465129</v>
      </c>
      <c r="E65" s="151">
        <f>('LEAP Region'!K10+'LEAP Region'!K11)*1000</f>
        <v>14558.945736434111</v>
      </c>
      <c r="G65" s="291" t="s">
        <v>115</v>
      </c>
      <c r="H65" s="291"/>
      <c r="I65" s="291"/>
      <c r="J65" s="291"/>
      <c r="K65" s="291"/>
      <c r="L65" s="291"/>
      <c r="M65" s="291"/>
      <c r="N65" s="291"/>
    </row>
    <row r="66" spans="1:20" ht="56.25" customHeight="1" x14ac:dyDescent="0.25">
      <c r="B66" s="128">
        <f>B65/B54</f>
        <v>714.67475564543315</v>
      </c>
      <c r="C66" s="129">
        <f>C65/C54</f>
        <v>592.28008900051191</v>
      </c>
      <c r="D66" s="129">
        <f>D65/D54</f>
        <v>394.20130774637965</v>
      </c>
      <c r="E66" s="130">
        <f>E65/E54</f>
        <v>138.20296880022875</v>
      </c>
      <c r="G66" s="291" t="s">
        <v>146</v>
      </c>
      <c r="H66" s="291"/>
      <c r="I66" s="291"/>
      <c r="J66" s="291"/>
      <c r="K66" s="291"/>
      <c r="L66" s="291"/>
      <c r="M66" s="291"/>
      <c r="N66" s="291"/>
    </row>
    <row r="67" spans="1:20" ht="56.25" customHeight="1" x14ac:dyDescent="0.25">
      <c r="A67" s="21"/>
      <c r="B67" s="134">
        <f>B66/B31</f>
        <v>0.22516532944090523</v>
      </c>
      <c r="C67" s="135">
        <f>C66/C31</f>
        <v>0.17604121012724611</v>
      </c>
      <c r="D67" s="135">
        <f>D66/D31</f>
        <v>0.1105348962013975</v>
      </c>
      <c r="E67" s="136">
        <f>E66/E31</f>
        <v>3.6558877623498305E-2</v>
      </c>
      <c r="G67" s="291" t="s">
        <v>116</v>
      </c>
      <c r="H67" s="291"/>
      <c r="I67" s="291"/>
      <c r="J67" s="291"/>
      <c r="K67" s="291"/>
      <c r="L67" s="291"/>
      <c r="M67" s="291"/>
      <c r="N67" s="29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704.1665799004187</v>
      </c>
      <c r="C72" s="156">
        <f ca="1">C49*($B$72-$B$46)+(1-C49)*$B$72</f>
        <v>695.8944943991637</v>
      </c>
      <c r="D72" s="156">
        <f ca="1">D49*($B$72-$B$46)+(1-D49)*$B$72</f>
        <v>690.64291759875402</v>
      </c>
      <c r="E72" s="157">
        <f ca="1">E49*($B$72-$B$46)+(1-E49)*$B$72</f>
        <v>679.92178182355042</v>
      </c>
      <c r="G72" s="292" t="s">
        <v>134</v>
      </c>
      <c r="H72" s="292"/>
      <c r="I72" s="292"/>
      <c r="J72" s="292"/>
      <c r="K72" s="292"/>
      <c r="L72" s="292"/>
      <c r="M72" s="292"/>
      <c r="N72" s="292"/>
    </row>
    <row r="73" spans="1:20" ht="56.25" customHeight="1" x14ac:dyDescent="0.25">
      <c r="B73" s="149">
        <f>('LEAP Region'!T4+'LEAP Region'!T5+'LEAP Region'!T9)*1000</f>
        <v>93546.264564770376</v>
      </c>
      <c r="C73" s="150">
        <f>('LEAP Region'!U4+'LEAP Region'!U5+'LEAP Region'!U9)*1000</f>
        <v>78431.802604523633</v>
      </c>
      <c r="D73" s="150">
        <f>('LEAP Region'!V4+'LEAP Region'!V5+'LEAP Region'!V9)*1000</f>
        <v>60866.346812885546</v>
      </c>
      <c r="E73" s="151">
        <f>('LEAP Region'!W4+'LEAP Region'!W5+'LEAP Region'!W9)*1000</f>
        <v>33701.165181631259</v>
      </c>
      <c r="G73" s="291" t="s">
        <v>133</v>
      </c>
      <c r="H73" s="291"/>
      <c r="I73" s="291"/>
      <c r="J73" s="291"/>
      <c r="K73" s="291"/>
      <c r="L73" s="291"/>
      <c r="M73" s="291"/>
      <c r="N73" s="291"/>
    </row>
    <row r="74" spans="1:20" ht="56.25" customHeight="1" x14ac:dyDescent="0.25">
      <c r="B74" s="158">
        <f ca="1">com_share_state_target*'LEAP Statewide'!T4*1000/'2.Heat Targets'!B73</f>
        <v>7.7208391867532693E-3</v>
      </c>
      <c r="C74" s="145">
        <f ca="1">com_share_state_target*'LEAP Statewide'!U4*1000/'2.Heat Targets'!C73</f>
        <v>5.7576783975810335E-2</v>
      </c>
      <c r="D74" s="145">
        <f ca="1">com_share_state_target*'LEAP Statewide'!V4*1000/'2.Heat Targets'!D73</f>
        <v>0.13919809760561486</v>
      </c>
      <c r="E74" s="159">
        <f ca="1">com_share_state_target*'LEAP Statewide'!W4*1000/'2.Heat Targets'!E73</f>
        <v>0.44703772466458619</v>
      </c>
      <c r="G74" s="291" t="s">
        <v>136</v>
      </c>
      <c r="H74" s="291"/>
      <c r="I74" s="291"/>
      <c r="J74" s="291"/>
      <c r="K74" s="291"/>
      <c r="L74" s="291"/>
      <c r="M74" s="291"/>
      <c r="N74" s="291"/>
    </row>
    <row r="75" spans="1:20" ht="56.25" customHeight="1" x14ac:dyDescent="0.25">
      <c r="B75" s="128">
        <f ca="1">B73/B72</f>
        <v>132.84678261498783</v>
      </c>
      <c r="C75" s="129">
        <f ca="1">C73/C72</f>
        <v>112.70645656169728</v>
      </c>
      <c r="D75" s="129">
        <f ca="1">D73/D72</f>
        <v>88.129980431142783</v>
      </c>
      <c r="E75" s="130">
        <f ca="1">E73/E72</f>
        <v>49.56623847414437</v>
      </c>
      <c r="G75" s="291" t="s">
        <v>135</v>
      </c>
      <c r="H75" s="291"/>
      <c r="I75" s="291"/>
      <c r="J75" s="291"/>
      <c r="K75" s="291"/>
      <c r="L75" s="291"/>
      <c r="M75" s="291"/>
      <c r="N75" s="291"/>
    </row>
    <row r="76" spans="1:20" ht="56.25" customHeight="1" x14ac:dyDescent="0.25">
      <c r="B76" s="134">
        <f ca="1">B75/B48</f>
        <v>0.44579457253351623</v>
      </c>
      <c r="C76" s="135">
        <f ca="1">C75/C48</f>
        <v>0.35680149601651667</v>
      </c>
      <c r="D76" s="135">
        <f ca="1">D75/D48</f>
        <v>0.26320593571222051</v>
      </c>
      <c r="E76" s="136">
        <f ca="1">E75/E48</f>
        <v>0.13965358929620533</v>
      </c>
      <c r="G76" s="291" t="s">
        <v>181</v>
      </c>
      <c r="H76" s="291"/>
      <c r="I76" s="291"/>
      <c r="J76" s="291"/>
      <c r="K76" s="291"/>
      <c r="L76" s="291"/>
      <c r="M76" s="291"/>
      <c r="N76" s="291"/>
    </row>
    <row r="77" spans="1:20" ht="56.25" customHeight="1" x14ac:dyDescent="0.25">
      <c r="B77" s="128">
        <f>'LEAP Region'!T10*1000</f>
        <v>28799.177518848526</v>
      </c>
      <c r="C77" s="129">
        <f>'LEAP Region'!U10*1000</f>
        <v>39420.150788211104</v>
      </c>
      <c r="D77" s="129">
        <f>'LEAP Region'!V10*1000</f>
        <v>49836.874571624401</v>
      </c>
      <c r="E77" s="130">
        <f>'LEAP Region'!W10*1000</f>
        <v>67810.829335161077</v>
      </c>
      <c r="G77" s="291" t="s">
        <v>138</v>
      </c>
      <c r="H77" s="291"/>
      <c r="I77" s="291"/>
      <c r="J77" s="291"/>
      <c r="K77" s="291"/>
      <c r="L77" s="291"/>
      <c r="M77" s="291"/>
      <c r="N77" s="291"/>
    </row>
    <row r="78" spans="1:20" ht="56.25" customHeight="1" x14ac:dyDescent="0.25">
      <c r="B78" s="128">
        <f ca="1">B77/B72</f>
        <v>40.898245302867437</v>
      </c>
      <c r="C78" s="129">
        <f ca="1">C77/C72</f>
        <v>56.646734678144732</v>
      </c>
      <c r="D78" s="129">
        <f ca="1">D77/D72</f>
        <v>72.160118205365222</v>
      </c>
      <c r="E78" s="130">
        <f ca="1">E77/E72</f>
        <v>99.733279838884428</v>
      </c>
      <c r="G78" s="291" t="s">
        <v>139</v>
      </c>
      <c r="H78" s="291"/>
      <c r="I78" s="291"/>
      <c r="J78" s="291"/>
      <c r="K78" s="291"/>
      <c r="L78" s="291"/>
      <c r="M78" s="291"/>
      <c r="N78" s="291"/>
    </row>
    <row r="79" spans="1:20" ht="56.25" customHeight="1" x14ac:dyDescent="0.25">
      <c r="B79" s="134">
        <f ca="1">B78/B48</f>
        <v>0.13724243390223972</v>
      </c>
      <c r="C79" s="135">
        <f ca="1">C78/C48</f>
        <v>0.17932991857080136</v>
      </c>
      <c r="D79" s="135">
        <f ca="1">D78/D48</f>
        <v>0.21551090038181808</v>
      </c>
      <c r="E79" s="136">
        <f ca="1">E78/E48</f>
        <v>0.28099994937175859</v>
      </c>
      <c r="G79" s="291" t="s">
        <v>141</v>
      </c>
      <c r="H79" s="291"/>
      <c r="I79" s="291"/>
      <c r="J79" s="291"/>
      <c r="K79" s="291"/>
      <c r="L79" s="291"/>
      <c r="M79" s="291"/>
      <c r="N79" s="291"/>
    </row>
    <row r="80" spans="1:20" ht="56.25" customHeight="1" x14ac:dyDescent="0.25">
      <c r="B80" s="149">
        <f>B43</f>
        <v>770.02056202878703</v>
      </c>
      <c r="C80" s="150">
        <f>C43</f>
        <v>4337.8051938161625</v>
      </c>
      <c r="D80" s="150">
        <f>D43</f>
        <v>7905.589825603538</v>
      </c>
      <c r="E80" s="151">
        <f>E43</f>
        <v>11473.374457390913</v>
      </c>
      <c r="G80" s="291" t="s">
        <v>142</v>
      </c>
      <c r="H80" s="291"/>
      <c r="I80" s="291"/>
      <c r="J80" s="291"/>
      <c r="K80" s="291"/>
      <c r="L80" s="291"/>
      <c r="M80" s="291"/>
      <c r="N80" s="291"/>
    </row>
    <row r="81" spans="2:14" ht="56.25" customHeight="1" x14ac:dyDescent="0.25">
      <c r="B81" s="128">
        <f ca="1">B80/((0.7*B72)/2.4)</f>
        <v>3.7492130040561773</v>
      </c>
      <c r="C81" s="129">
        <f ca="1">C80/((0.75*C72)/2.6)</f>
        <v>21.609201959385558</v>
      </c>
      <c r="D81" s="129">
        <f ca="1">D80/((0.8*D72)/2.8)</f>
        <v>40.063488214451937</v>
      </c>
      <c r="E81" s="130">
        <f ca="1">E80/((0.85*E72)/3)</f>
        <v>59.557237131285646</v>
      </c>
      <c r="G81" s="291" t="s">
        <v>143</v>
      </c>
      <c r="H81" s="291"/>
      <c r="I81" s="291"/>
      <c r="J81" s="291"/>
      <c r="K81" s="291"/>
      <c r="L81" s="291"/>
      <c r="M81" s="291"/>
      <c r="N81" s="291"/>
    </row>
    <row r="82" spans="2:14" ht="56.25" customHeight="1" x14ac:dyDescent="0.25">
      <c r="B82" s="134">
        <f ca="1">B81/B48</f>
        <v>1.2581251691463683E-2</v>
      </c>
      <c r="C82" s="135">
        <f ca="1">C81/C48</f>
        <v>6.8409528806463088E-2</v>
      </c>
      <c r="D82" s="135">
        <f ca="1">D81/D48</f>
        <v>0.11965222109199557</v>
      </c>
      <c r="E82" s="136">
        <f ca="1">E81/E48</f>
        <v>0.16780337160924441</v>
      </c>
      <c r="G82" s="291" t="s">
        <v>144</v>
      </c>
      <c r="H82" s="291"/>
      <c r="I82" s="291"/>
      <c r="J82" s="291"/>
      <c r="K82" s="291"/>
      <c r="L82" s="291"/>
      <c r="M82" s="291"/>
      <c r="N82" s="291"/>
    </row>
    <row r="83" spans="2:14" ht="56.25" customHeight="1" x14ac:dyDescent="0.25">
      <c r="B83" s="149">
        <f>('LEAP Region'!T7+'LEAP Region'!T8)*1000</f>
        <v>61070.596298834818</v>
      </c>
      <c r="C83" s="150">
        <f>('LEAP Region'!U7+'LEAP Region'!U8)*1000</f>
        <v>52696.367374914327</v>
      </c>
      <c r="D83" s="150">
        <f>('LEAP Region'!V7+'LEAP Region'!V8)*1000</f>
        <v>42688.14256339959</v>
      </c>
      <c r="E83" s="151">
        <f>('LEAP Region'!W7+'LEAP Region'!W8)*1000</f>
        <v>27165.181631254283</v>
      </c>
      <c r="G83" s="291" t="s">
        <v>145</v>
      </c>
      <c r="H83" s="291"/>
      <c r="I83" s="291"/>
      <c r="J83" s="291"/>
      <c r="K83" s="291"/>
      <c r="L83" s="291"/>
      <c r="M83" s="291"/>
      <c r="N83" s="291"/>
    </row>
    <row r="84" spans="2:14" ht="56.25" customHeight="1" x14ac:dyDescent="0.25">
      <c r="B84" s="128">
        <f ca="1">B83/B72</f>
        <v>86.727484720264982</v>
      </c>
      <c r="C84" s="129">
        <f ca="1">C83/C72</f>
        <v>75.724650502390375</v>
      </c>
      <c r="D84" s="129">
        <f ca="1">D83/D72</f>
        <v>61.809281577546436</v>
      </c>
      <c r="E84" s="130">
        <f ca="1">E83/E72</f>
        <v>39.953392224613332</v>
      </c>
      <c r="G84" s="291" t="s">
        <v>147</v>
      </c>
      <c r="H84" s="291"/>
      <c r="I84" s="291"/>
      <c r="J84" s="291"/>
      <c r="K84" s="291"/>
      <c r="L84" s="291"/>
      <c r="M84" s="291"/>
      <c r="N84" s="291"/>
    </row>
    <row r="85" spans="2:14" ht="56.25" customHeight="1" x14ac:dyDescent="0.25">
      <c r="B85" s="134">
        <f ca="1">B84/B48</f>
        <v>0.29103182792035232</v>
      </c>
      <c r="C85" s="135">
        <f ca="1">C84/C48</f>
        <v>0.23972600513609718</v>
      </c>
      <c r="D85" s="135">
        <f ca="1">D84/D48</f>
        <v>0.18459745155655727</v>
      </c>
      <c r="E85" s="136">
        <f ca="1">E84/E48</f>
        <v>0.11256925682663821</v>
      </c>
      <c r="G85" s="291" t="s">
        <v>148</v>
      </c>
      <c r="H85" s="291"/>
      <c r="I85" s="291"/>
      <c r="J85" s="291"/>
      <c r="K85" s="291"/>
      <c r="L85" s="291"/>
      <c r="M85" s="291"/>
      <c r="N85" s="29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F25" sqref="F25"/>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76" t="s">
        <v>504</v>
      </c>
      <c r="C4" s="277"/>
      <c r="D4" s="277"/>
      <c r="E4" s="277"/>
      <c r="F4" s="277"/>
      <c r="G4" s="277"/>
      <c r="H4" s="277"/>
      <c r="I4" s="277"/>
      <c r="J4" s="277"/>
      <c r="K4" s="277"/>
      <c r="L4" s="277"/>
      <c r="M4" s="277"/>
      <c r="N4" s="278"/>
    </row>
    <row r="5" spans="2:15" ht="22.5" customHeight="1" x14ac:dyDescent="0.25">
      <c r="B5" s="279"/>
      <c r="C5" s="280"/>
      <c r="D5" s="280"/>
      <c r="E5" s="280"/>
      <c r="F5" s="280"/>
      <c r="G5" s="280"/>
      <c r="H5" s="280"/>
      <c r="I5" s="280"/>
      <c r="J5" s="280"/>
      <c r="K5" s="280"/>
      <c r="L5" s="280"/>
      <c r="M5" s="280"/>
      <c r="N5" s="281"/>
    </row>
    <row r="6" spans="2:15" ht="22.5" customHeight="1" x14ac:dyDescent="0.25">
      <c r="B6" s="282"/>
      <c r="C6" s="283"/>
      <c r="D6" s="283"/>
      <c r="E6" s="283"/>
      <c r="F6" s="283"/>
      <c r="G6" s="283"/>
      <c r="H6" s="283"/>
      <c r="I6" s="283"/>
      <c r="J6" s="283"/>
      <c r="K6" s="283"/>
      <c r="L6" s="283"/>
      <c r="M6" s="283"/>
      <c r="N6" s="28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85" t="s">
        <v>151</v>
      </c>
      <c r="N11" s="286"/>
      <c r="O11" s="287"/>
    </row>
    <row r="12" spans="2:15" x14ac:dyDescent="0.25">
      <c r="B12" s="1">
        <v>100</v>
      </c>
      <c r="C12" s="2" t="s">
        <v>103</v>
      </c>
      <c r="D12" s="2"/>
      <c r="E12" s="2"/>
      <c r="F12" s="2"/>
      <c r="G12" s="2"/>
      <c r="H12" s="2"/>
      <c r="I12" s="2"/>
      <c r="J12" s="2"/>
      <c r="K12" s="3"/>
      <c r="M12" s="288"/>
      <c r="N12" s="289"/>
      <c r="O12" s="29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352.23255813953494</v>
      </c>
      <c r="C18" s="129">
        <f>'LEAP Region'!I26*1000</f>
        <v>9627.689922480622</v>
      </c>
      <c r="D18" s="129">
        <f>'LEAP Region'!J26*1000</f>
        <v>27943.782945736442</v>
      </c>
      <c r="E18" s="130">
        <f>'LEAP Region'!K26*1000</f>
        <v>54126.403100775206</v>
      </c>
      <c r="G18" s="291" t="s">
        <v>474</v>
      </c>
      <c r="H18" s="291"/>
      <c r="I18" s="291"/>
      <c r="J18" s="291"/>
      <c r="K18" s="291"/>
      <c r="L18" s="291"/>
      <c r="M18" s="291"/>
      <c r="N18" s="29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91" t="s">
        <v>190</v>
      </c>
      <c r="H19" s="291"/>
      <c r="I19" s="291"/>
      <c r="J19" s="291"/>
      <c r="K19" s="291"/>
      <c r="L19" s="291"/>
      <c r="M19" s="291"/>
      <c r="N19" s="291"/>
      <c r="V19" t="s">
        <v>547</v>
      </c>
    </row>
    <row r="20" spans="2:22" ht="54.75" customHeight="1" x14ac:dyDescent="0.25">
      <c r="B20" s="128">
        <f>IF($F$22="adj",'1.Current Trans'!$O$13*B18/B19,B18/B19)</f>
        <v>24.776029880858264</v>
      </c>
      <c r="C20" s="129">
        <f>IF($F$22="adj",'1.Current Trans'!$O$13*C18/C19,C18/C19)</f>
        <v>738.77616372013733</v>
      </c>
      <c r="D20" s="129">
        <f>IF($F$22="adj",'1.Current Trans'!$O$13*D18/D19,D18/D19)</f>
        <v>2358.6780446577072</v>
      </c>
      <c r="E20" s="130">
        <f>IF($F$22="adj",'1.Current Trans'!$O$13*E18/E19,E18/E19)</f>
        <v>5076.3332333669596</v>
      </c>
      <c r="G20" s="293" t="s">
        <v>106</v>
      </c>
      <c r="H20" s="293"/>
      <c r="I20" s="293"/>
      <c r="J20" s="293"/>
      <c r="K20" s="293"/>
      <c r="L20" s="293"/>
      <c r="M20" s="293"/>
      <c r="N20" s="293"/>
    </row>
    <row r="21" spans="2:22" ht="54.75" customHeight="1" x14ac:dyDescent="0.25">
      <c r="B21" s="131">
        <f>'1.Current Trans'!B9+'1.Current Trans'!B32</f>
        <v>5050</v>
      </c>
      <c r="C21" s="132">
        <f t="shared" ref="C21:E21" si="0">B21*1.125</f>
        <v>5681.25</v>
      </c>
      <c r="D21" s="132">
        <f t="shared" si="0"/>
        <v>6391.40625</v>
      </c>
      <c r="E21" s="133">
        <f t="shared" si="0"/>
        <v>7190.33203125</v>
      </c>
      <c r="G21" s="293" t="s">
        <v>189</v>
      </c>
      <c r="H21" s="293"/>
      <c r="I21" s="293"/>
      <c r="J21" s="293"/>
      <c r="K21" s="293"/>
      <c r="L21" s="293"/>
      <c r="M21" s="293"/>
      <c r="N21" s="293"/>
      <c r="O21" s="186">
        <f>(E21/B21)^(1/(E17-B17))-1</f>
        <v>1.014682216717655E-2</v>
      </c>
    </row>
    <row r="22" spans="2:22" ht="54.75" customHeight="1" x14ac:dyDescent="0.25">
      <c r="B22" s="134">
        <f>B20/B21</f>
        <v>4.9061445308630222E-3</v>
      </c>
      <c r="C22" s="135">
        <f>C20/C21</f>
        <v>0.13003760857560173</v>
      </c>
      <c r="D22" s="135">
        <f>D20/D21</f>
        <v>0.36903898021780529</v>
      </c>
      <c r="E22" s="136">
        <f>E20/E21</f>
        <v>0.70599427276857851</v>
      </c>
      <c r="F22" s="54" t="s">
        <v>545</v>
      </c>
      <c r="G22" s="293" t="s">
        <v>191</v>
      </c>
      <c r="H22" s="293"/>
      <c r="I22" s="293"/>
      <c r="J22" s="293"/>
      <c r="K22" s="293"/>
      <c r="L22" s="293"/>
      <c r="M22" s="293"/>
      <c r="N22" s="293"/>
    </row>
    <row r="23" spans="2:22" ht="54.75" customHeight="1" x14ac:dyDescent="0.25">
      <c r="B23" s="166">
        <f>('LEAP Region'!H24+'LEAP Region'!H25+'LEAP Region'!H27+'LEAP Region'!H28)*1000</f>
        <v>401427.7054263567</v>
      </c>
      <c r="C23" s="167">
        <f>('LEAP Region'!I24+'LEAP Region'!I25+'LEAP Region'!I27+'LEAP Region'!I28)*1000</f>
        <v>288008.82170542644</v>
      </c>
      <c r="D23" s="167">
        <f>('LEAP Region'!J24+'LEAP Region'!J25+'LEAP Region'!J27+'LEAP Region'!J28)*1000</f>
        <v>164492.60465116281</v>
      </c>
      <c r="E23" s="168">
        <f>('LEAP Region'!K24+'LEAP Region'!K25+'LEAP Region'!K27+'LEAP Region'!K28)*1000</f>
        <v>22895.116279069767</v>
      </c>
      <c r="G23" s="291" t="s">
        <v>470</v>
      </c>
      <c r="H23" s="291"/>
      <c r="I23" s="291"/>
      <c r="J23" s="291"/>
      <c r="K23" s="291"/>
      <c r="L23" s="291"/>
      <c r="M23" s="291"/>
      <c r="N23" s="29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0.12593916004531605</v>
      </c>
      <c r="D24" s="145">
        <f>res_share_state_target*('LEAP Statewide'!J25+'LEAP Statewide'!J28)*1000000/'2.Trans Targets'!D23</f>
        <v>0.1470039303312683</v>
      </c>
      <c r="E24" s="159">
        <f>res_share_state_target*('LEAP Statewide'!K25+'LEAP Statewide'!K28)*1000000/'2.Trans Targets'!E23</f>
        <v>0.52808334972847926</v>
      </c>
      <c r="G24" s="291" t="s">
        <v>192</v>
      </c>
      <c r="H24" s="291"/>
      <c r="I24" s="291"/>
      <c r="J24" s="291"/>
      <c r="K24" s="291"/>
      <c r="L24" s="291"/>
      <c r="M24" s="291"/>
      <c r="N24" s="29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291" t="s">
        <v>193</v>
      </c>
      <c r="H25" s="291"/>
      <c r="I25" s="291"/>
      <c r="J25" s="291"/>
      <c r="K25" s="291"/>
      <c r="L25" s="291"/>
      <c r="M25" s="291"/>
      <c r="N25" s="291"/>
    </row>
    <row r="26" spans="2:22" ht="54.75" customHeight="1" x14ac:dyDescent="0.25">
      <c r="B26" s="128">
        <f>IF($F$22="adj",'1.Current Trans'!$O$13*B23/B25,B23/B25)</f>
        <v>5988.9628041299766</v>
      </c>
      <c r="C26" s="135">
        <f>C24/C25</f>
        <v>1.9618422167365732E-3</v>
      </c>
      <c r="D26" s="135">
        <f>D24/D25</f>
        <v>2.7571470859238355E-3</v>
      </c>
      <c r="E26" s="136">
        <f>E24/E25</f>
        <v>1.244291798639104E-2</v>
      </c>
      <c r="G26" s="293" t="s">
        <v>107</v>
      </c>
      <c r="H26" s="293"/>
      <c r="I26" s="293"/>
      <c r="J26" s="293"/>
      <c r="K26" s="293"/>
      <c r="L26" s="293"/>
      <c r="M26" s="293"/>
      <c r="N26" s="293"/>
    </row>
    <row r="27" spans="2:22" ht="54.75" customHeight="1" x14ac:dyDescent="0.25">
      <c r="B27" s="134">
        <f>B26/B21</f>
        <v>1.1859332285405895</v>
      </c>
      <c r="C27" s="135">
        <f>C26/C21</f>
        <v>3.4531876202183908E-7</v>
      </c>
      <c r="D27" s="135">
        <f>D26/D21</f>
        <v>4.3138348245721909E-7</v>
      </c>
      <c r="E27" s="136">
        <f>E26/E21</f>
        <v>1.7305067321387529E-6</v>
      </c>
      <c r="G27" s="293" t="s">
        <v>108</v>
      </c>
      <c r="H27" s="293"/>
      <c r="I27" s="293"/>
      <c r="J27" s="293"/>
      <c r="K27" s="293"/>
      <c r="L27" s="293"/>
      <c r="M27" s="293"/>
      <c r="N27" s="29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1408930.2325581398</v>
      </c>
      <c r="C5" s="172">
        <f>'LEAP Region'!C49*1000000</f>
        <v>6575007.7519379864</v>
      </c>
      <c r="D5" s="172">
        <f>'LEAP Region'!D49*1000000</f>
        <v>10332155.038759692</v>
      </c>
      <c r="E5" s="173">
        <f>'LEAP Region'!E49*1000000</f>
        <v>15146000.000000002</v>
      </c>
      <c r="G5" s="291" t="s">
        <v>186</v>
      </c>
      <c r="H5" s="291"/>
      <c r="I5" s="291"/>
      <c r="J5" s="291"/>
      <c r="K5" s="291"/>
      <c r="L5" s="291"/>
      <c r="M5" s="291"/>
      <c r="N5" s="291"/>
    </row>
    <row r="6" spans="2:14" s="126" customFormat="1" ht="45" customHeight="1" x14ac:dyDescent="0.2">
      <c r="B6" s="294">
        <v>400</v>
      </c>
      <c r="C6" s="295"/>
      <c r="D6" s="295"/>
      <c r="E6" s="296"/>
      <c r="G6" s="291" t="s">
        <v>475</v>
      </c>
      <c r="H6" s="291"/>
      <c r="I6" s="291"/>
      <c r="J6" s="291"/>
      <c r="K6" s="291"/>
      <c r="L6" s="291"/>
      <c r="M6" s="291"/>
      <c r="N6" s="291"/>
    </row>
    <row r="7" spans="2:14" s="126" customFormat="1" ht="45" customHeight="1" x14ac:dyDescent="0.2">
      <c r="B7" s="171">
        <f>B5/13/$B$6</f>
        <v>270.94812164579611</v>
      </c>
      <c r="C7" s="172">
        <f>C5/13/$B$6</f>
        <v>1264.4245676803821</v>
      </c>
      <c r="D7" s="172">
        <f>D5/13/$B$6</f>
        <v>1986.9528920691714</v>
      </c>
      <c r="E7" s="172">
        <f>E5/13/$B$6</f>
        <v>2912.6923076923081</v>
      </c>
      <c r="G7" s="291" t="s">
        <v>185</v>
      </c>
      <c r="H7" s="291"/>
      <c r="I7" s="291"/>
      <c r="J7" s="291"/>
      <c r="K7" s="291"/>
      <c r="L7" s="291"/>
      <c r="M7" s="291"/>
      <c r="N7" s="291"/>
    </row>
    <row r="8" spans="2:14" s="126" customFormat="1" ht="45" customHeight="1" x14ac:dyDescent="0.2">
      <c r="B8" s="36">
        <f>'2.Heat Targets'!B31*1.5</f>
        <v>4761</v>
      </c>
      <c r="C8" s="36">
        <f>'2.Heat Targets'!C31*1.5</f>
        <v>5046.66</v>
      </c>
      <c r="D8" s="36">
        <f>'2.Heat Targets'!D31*1.5</f>
        <v>5349.4596000000001</v>
      </c>
      <c r="E8" s="36">
        <f>'2.Heat Targets'!E31*1.5</f>
        <v>5670.4271760000011</v>
      </c>
      <c r="G8" s="291" t="s">
        <v>187</v>
      </c>
      <c r="H8" s="291"/>
      <c r="I8" s="291"/>
      <c r="J8" s="291"/>
      <c r="K8" s="291"/>
      <c r="L8" s="291"/>
      <c r="M8" s="291"/>
      <c r="N8" s="291"/>
    </row>
    <row r="9" spans="2:14" s="126" customFormat="1" ht="45" customHeight="1" x14ac:dyDescent="0.2">
      <c r="B9" s="174">
        <f>B7/B8</f>
        <v>5.6909918430118903E-2</v>
      </c>
      <c r="C9" s="175">
        <f>C7/C8</f>
        <v>0.25054681069863677</v>
      </c>
      <c r="D9" s="175">
        <f>D7/D8</f>
        <v>0.37143058189824846</v>
      </c>
      <c r="E9" s="176">
        <f>E7/E8</f>
        <v>0.51366364777952445</v>
      </c>
      <c r="G9" s="291" t="s">
        <v>188</v>
      </c>
      <c r="H9" s="291"/>
      <c r="I9" s="291"/>
      <c r="J9" s="291"/>
      <c r="K9" s="291"/>
      <c r="L9" s="291"/>
      <c r="M9" s="291"/>
      <c r="N9" s="29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297"/>
      <c r="C17" s="297"/>
      <c r="D17" s="297"/>
      <c r="E17" s="29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opLeftCell="A5" zoomScale="70" zoomScaleNormal="70" workbookViewId="0">
      <selection activeCell="M49" sqref="M4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row>
    <row r="16" spans="1:25" x14ac:dyDescent="0.25">
      <c r="B16" s="21"/>
      <c r="C16" s="21"/>
      <c r="D16" s="21"/>
      <c r="E16" s="21"/>
      <c r="H16" s="21"/>
      <c r="I16" s="21"/>
      <c r="J16" s="21"/>
      <c r="K16" s="21"/>
      <c r="L16" s="22"/>
      <c r="M16" s="301"/>
      <c r="N16" s="301"/>
      <c r="O16" s="301"/>
      <c r="P16" s="301"/>
      <c r="Q16" s="114"/>
      <c r="R16" s="299"/>
    </row>
    <row r="17" spans="1:18" x14ac:dyDescent="0.25">
      <c r="B17" s="21"/>
      <c r="C17" s="21"/>
      <c r="D17" s="21"/>
      <c r="E17" s="21"/>
      <c r="H17" s="21"/>
      <c r="I17" s="21"/>
      <c r="J17" s="21"/>
      <c r="K17" s="30"/>
      <c r="L17" s="22"/>
      <c r="M17" s="301"/>
      <c r="N17" s="301"/>
      <c r="O17" s="301"/>
      <c r="P17" s="301"/>
      <c r="Q17" s="114"/>
      <c r="R17" s="114"/>
    </row>
    <row r="18" spans="1:18" x14ac:dyDescent="0.25">
      <c r="B18" s="21"/>
      <c r="L18" s="22"/>
      <c r="M18" s="114"/>
      <c r="N18" s="114"/>
      <c r="O18" s="114"/>
      <c r="P18" s="114"/>
      <c r="Q18" s="114"/>
      <c r="R18" s="114"/>
    </row>
    <row r="19" spans="1:18" x14ac:dyDescent="0.25">
      <c r="B19" s="21"/>
      <c r="C19" s="21"/>
      <c r="D19" s="21"/>
      <c r="E19" s="21"/>
      <c r="H19" s="21"/>
      <c r="I19" s="21"/>
      <c r="J19" s="21"/>
      <c r="K19" s="21"/>
      <c r="L19" s="22"/>
      <c r="M19" s="114"/>
      <c r="N19" s="302"/>
      <c r="O19" s="302"/>
      <c r="P19" s="302"/>
      <c r="Q19" s="302"/>
      <c r="R19" s="114"/>
    </row>
    <row r="20" spans="1:18" x14ac:dyDescent="0.25">
      <c r="B20" s="21"/>
      <c r="C20" s="21"/>
      <c r="D20" s="21"/>
      <c r="E20" s="21"/>
      <c r="H20" s="23"/>
      <c r="I20" s="23"/>
      <c r="J20" s="23"/>
      <c r="K20" s="23"/>
      <c r="L20" s="22"/>
      <c r="M20" s="301"/>
      <c r="N20" s="302"/>
      <c r="O20" s="302"/>
      <c r="P20" s="302"/>
      <c r="Q20" s="302"/>
      <c r="R20" s="114"/>
    </row>
    <row r="21" spans="1:18" x14ac:dyDescent="0.25">
      <c r="L21" s="22"/>
      <c r="M21" s="301"/>
      <c r="N21" s="302"/>
      <c r="O21" s="302"/>
      <c r="P21" s="302"/>
      <c r="Q21" s="302"/>
      <c r="R21" s="114"/>
    </row>
    <row r="22" spans="1:18" ht="33.75" customHeight="1" x14ac:dyDescent="0.25">
      <c r="A22" s="221" t="s">
        <v>472</v>
      </c>
      <c r="B22" s="222"/>
      <c r="C22" s="222"/>
      <c r="D22" s="222"/>
      <c r="E22" s="223"/>
      <c r="G22" s="221" t="s">
        <v>473</v>
      </c>
      <c r="H22" s="222"/>
      <c r="I22" s="222"/>
      <c r="J22" s="222"/>
      <c r="K22" s="223"/>
      <c r="L22" s="22"/>
      <c r="M22" s="301"/>
      <c r="N22" s="302"/>
      <c r="O22" s="302"/>
      <c r="P22" s="302"/>
      <c r="Q22" s="302"/>
      <c r="R22" s="114"/>
    </row>
    <row r="23" spans="1:18" x14ac:dyDescent="0.25">
      <c r="A23" s="14" t="s">
        <v>0</v>
      </c>
      <c r="B23" s="15">
        <v>2015</v>
      </c>
      <c r="C23" s="15">
        <v>2025</v>
      </c>
      <c r="D23" s="15">
        <v>2035</v>
      </c>
      <c r="E23" s="16">
        <v>2050</v>
      </c>
      <c r="G23" s="14" t="s">
        <v>0</v>
      </c>
      <c r="H23" s="15">
        <v>2015</v>
      </c>
      <c r="I23" s="15">
        <v>2025</v>
      </c>
      <c r="J23" s="15">
        <v>2035</v>
      </c>
      <c r="K23" s="16">
        <v>2050</v>
      </c>
      <c r="M23" s="301"/>
      <c r="N23" s="302"/>
      <c r="O23" s="302"/>
      <c r="P23" s="302"/>
      <c r="Q23" s="302"/>
      <c r="R23" s="114"/>
    </row>
    <row r="24" spans="1:18" x14ac:dyDescent="0.25">
      <c r="A24" s="1" t="s">
        <v>21</v>
      </c>
      <c r="B24" s="4">
        <v>2912</v>
      </c>
      <c r="C24" s="4">
        <v>2370</v>
      </c>
      <c r="D24" s="4">
        <v>2020</v>
      </c>
      <c r="E24" s="5">
        <v>1696</v>
      </c>
      <c r="G24" s="1" t="s">
        <v>21</v>
      </c>
      <c r="H24" s="4">
        <v>2923</v>
      </c>
      <c r="I24" s="4">
        <v>2094</v>
      </c>
      <c r="J24" s="4">
        <v>1166</v>
      </c>
      <c r="K24" s="5">
        <v>91</v>
      </c>
      <c r="M24" s="301"/>
      <c r="N24" s="302"/>
      <c r="O24" s="302"/>
      <c r="P24" s="302"/>
      <c r="Q24" s="302"/>
      <c r="R24" s="114"/>
    </row>
    <row r="25" spans="1:18" x14ac:dyDescent="0.25">
      <c r="A25" s="1" t="s">
        <v>22</v>
      </c>
      <c r="B25" s="4">
        <v>395</v>
      </c>
      <c r="C25" s="4">
        <v>319</v>
      </c>
      <c r="D25" s="4">
        <v>270</v>
      </c>
      <c r="E25" s="5">
        <v>224</v>
      </c>
      <c r="G25" s="1" t="s">
        <v>22</v>
      </c>
      <c r="H25" s="4">
        <v>390</v>
      </c>
      <c r="I25" s="4">
        <v>260</v>
      </c>
      <c r="J25" s="4">
        <v>141</v>
      </c>
      <c r="K25" s="5">
        <v>16</v>
      </c>
      <c r="M25" s="301"/>
      <c r="N25" s="302"/>
      <c r="O25" s="302"/>
      <c r="P25" s="302"/>
      <c r="Q25" s="302"/>
      <c r="R25" s="114"/>
    </row>
    <row r="26" spans="1:18" x14ac:dyDescent="0.25">
      <c r="A26" s="1" t="s">
        <v>23</v>
      </c>
      <c r="B26" s="4">
        <v>3</v>
      </c>
      <c r="C26" s="4">
        <v>9</v>
      </c>
      <c r="D26" s="4">
        <v>14</v>
      </c>
      <c r="E26" s="5">
        <v>21</v>
      </c>
      <c r="G26" s="1" t="s">
        <v>23</v>
      </c>
      <c r="H26" s="4">
        <v>3</v>
      </c>
      <c r="I26" s="4">
        <v>82</v>
      </c>
      <c r="J26" s="4">
        <v>238</v>
      </c>
      <c r="K26" s="5">
        <v>461</v>
      </c>
      <c r="M26" s="301"/>
      <c r="N26" s="302"/>
      <c r="O26" s="302"/>
      <c r="P26" s="302"/>
      <c r="Q26" s="302"/>
      <c r="R26" s="114"/>
    </row>
    <row r="27" spans="1:18" x14ac:dyDescent="0.25">
      <c r="A27" s="1" t="s">
        <v>20</v>
      </c>
      <c r="B27" s="4">
        <v>106</v>
      </c>
      <c r="C27" s="4">
        <v>100</v>
      </c>
      <c r="D27" s="4">
        <v>98</v>
      </c>
      <c r="E27" s="5">
        <v>97</v>
      </c>
      <c r="G27" s="1" t="s">
        <v>20</v>
      </c>
      <c r="H27" s="4">
        <v>98</v>
      </c>
      <c r="I27" s="4">
        <v>61</v>
      </c>
      <c r="J27" s="4">
        <v>33</v>
      </c>
      <c r="K27" s="5">
        <v>1</v>
      </c>
      <c r="M27" s="301"/>
      <c r="N27" s="302"/>
      <c r="O27" s="302"/>
      <c r="P27" s="302"/>
      <c r="Q27" s="302"/>
      <c r="R27" s="114"/>
    </row>
    <row r="28" spans="1:18" x14ac:dyDescent="0.25">
      <c r="A28" s="1" t="s">
        <v>18</v>
      </c>
      <c r="B28" s="4">
        <v>1</v>
      </c>
      <c r="C28" s="4">
        <v>1</v>
      </c>
      <c r="D28" s="4">
        <v>1</v>
      </c>
      <c r="E28" s="5">
        <v>0</v>
      </c>
      <c r="G28" s="1" t="s">
        <v>18</v>
      </c>
      <c r="H28" s="4">
        <v>8</v>
      </c>
      <c r="I28" s="4">
        <v>38</v>
      </c>
      <c r="J28" s="4">
        <v>61</v>
      </c>
      <c r="K28" s="5">
        <v>87</v>
      </c>
      <c r="M28" s="301"/>
      <c r="N28" s="302"/>
      <c r="O28" s="302"/>
      <c r="P28" s="302"/>
      <c r="Q28" s="302"/>
      <c r="R28" s="114"/>
    </row>
    <row r="29" spans="1:18" x14ac:dyDescent="0.25">
      <c r="A29" s="6" t="s">
        <v>24</v>
      </c>
      <c r="B29" s="18">
        <v>0</v>
      </c>
      <c r="C29" s="18">
        <v>0</v>
      </c>
      <c r="D29" s="18">
        <v>0</v>
      </c>
      <c r="E29" s="19">
        <v>0</v>
      </c>
      <c r="G29" s="1" t="s">
        <v>24</v>
      </c>
      <c r="H29" s="4">
        <v>0</v>
      </c>
      <c r="I29" s="4">
        <v>0</v>
      </c>
      <c r="J29" s="4">
        <v>0</v>
      </c>
      <c r="K29" s="5">
        <v>0</v>
      </c>
      <c r="M29" s="301"/>
      <c r="N29" s="303"/>
      <c r="O29" s="303"/>
      <c r="P29" s="303"/>
      <c r="Q29" s="303"/>
      <c r="R29" s="114"/>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8"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24" t="s">
        <v>184</v>
      </c>
      <c r="B48" s="17">
        <v>2015</v>
      </c>
      <c r="C48" s="17">
        <v>2025</v>
      </c>
      <c r="D48" s="17">
        <v>2035</v>
      </c>
      <c r="E48" s="17">
        <v>2050</v>
      </c>
      <c r="M48" s="114"/>
      <c r="N48" s="114"/>
      <c r="O48" s="114"/>
      <c r="P48" s="114"/>
      <c r="Q48" s="299"/>
    </row>
    <row r="49" spans="1:17" ht="89.25" customHeight="1" x14ac:dyDescent="0.25">
      <c r="A49" s="224"/>
      <c r="B49" s="214">
        <v>12</v>
      </c>
      <c r="C49" s="213">
        <v>56</v>
      </c>
      <c r="D49" s="213">
        <v>88</v>
      </c>
      <c r="E49" s="213">
        <v>129</v>
      </c>
      <c r="M49" s="114"/>
      <c r="N49" s="114"/>
      <c r="O49" s="114"/>
      <c r="P49" s="114"/>
      <c r="Q49" s="114"/>
    </row>
    <row r="50" spans="1:17" x14ac:dyDescent="0.25">
      <c r="M50" s="114"/>
      <c r="N50" s="114"/>
      <c r="O50" s="114"/>
      <c r="P50" s="114"/>
      <c r="Q50" s="114"/>
    </row>
    <row r="51" spans="1:17" x14ac:dyDescent="0.25">
      <c r="M51" s="114"/>
      <c r="N51" s="114"/>
      <c r="O51" s="114"/>
      <c r="P51" s="114"/>
      <c r="Q51" s="114"/>
    </row>
    <row r="52" spans="1:17" x14ac:dyDescent="0.25">
      <c r="M52" s="114"/>
      <c r="N52" s="114"/>
      <c r="O52" s="114"/>
      <c r="P52" s="114"/>
      <c r="Q52" s="114"/>
    </row>
    <row r="53" spans="1:17" x14ac:dyDescent="0.25">
      <c r="M53" s="114"/>
      <c r="N53" s="114"/>
      <c r="O53" s="114"/>
      <c r="P53" s="114"/>
      <c r="Q53" s="114"/>
    </row>
    <row r="54" spans="1:17" x14ac:dyDescent="0.25">
      <c r="M54" s="114"/>
      <c r="N54" s="114"/>
      <c r="O54" s="114"/>
      <c r="P54" s="114"/>
      <c r="Q54" s="114"/>
    </row>
    <row r="55" spans="1:17" x14ac:dyDescent="0.25">
      <c r="M55" s="114"/>
      <c r="N55" s="114"/>
      <c r="O55" s="114"/>
      <c r="P55" s="114"/>
      <c r="Q55" s="114"/>
    </row>
    <row r="56" spans="1:17" x14ac:dyDescent="0.25">
      <c r="M56" s="114"/>
      <c r="N56" s="114"/>
      <c r="O56" s="114"/>
      <c r="P56" s="114"/>
      <c r="Q56" s="114"/>
    </row>
    <row r="57" spans="1:17" x14ac:dyDescent="0.25">
      <c r="M57" s="114"/>
      <c r="N57" s="114"/>
      <c r="O57" s="114"/>
      <c r="P57" s="114"/>
      <c r="Q57" s="114"/>
    </row>
    <row r="58" spans="1:17" x14ac:dyDescent="0.25">
      <c r="M58" s="114"/>
      <c r="N58" s="114"/>
      <c r="O58" s="114"/>
      <c r="P58" s="114"/>
      <c r="Q58" s="114"/>
    </row>
    <row r="59" spans="1:17" x14ac:dyDescent="0.25">
      <c r="M59" s="114"/>
      <c r="N59" s="114"/>
      <c r="O59" s="114"/>
      <c r="P59" s="114"/>
      <c r="Q59" s="114"/>
    </row>
    <row r="60" spans="1:17" x14ac:dyDescent="0.25">
      <c r="M60" s="114"/>
      <c r="N60" s="114"/>
      <c r="O60" s="114"/>
      <c r="P60" s="114"/>
      <c r="Q60" s="114"/>
    </row>
    <row r="61" spans="1:17" x14ac:dyDescent="0.25">
      <c r="M61" s="114"/>
      <c r="N61" s="114"/>
      <c r="O61" s="114"/>
      <c r="P61" s="114"/>
      <c r="Q61" s="300"/>
    </row>
    <row r="62" spans="1:17" x14ac:dyDescent="0.25">
      <c r="M62" s="114"/>
      <c r="N62" s="114"/>
      <c r="O62" s="114"/>
      <c r="P62" s="114"/>
      <c r="Q62" s="114"/>
    </row>
    <row r="63" spans="1:17" x14ac:dyDescent="0.25">
      <c r="M63" s="114"/>
      <c r="N63" s="114"/>
      <c r="O63" s="114"/>
      <c r="P63" s="114"/>
      <c r="Q63" s="114"/>
    </row>
    <row r="64" spans="1:17" x14ac:dyDescent="0.25">
      <c r="M64" s="114"/>
      <c r="N64" s="114"/>
      <c r="O64" s="114"/>
      <c r="P64" s="114"/>
      <c r="Q64" s="114"/>
    </row>
    <row r="65" spans="13:17" x14ac:dyDescent="0.25">
      <c r="M65" s="114"/>
      <c r="N65" s="114"/>
      <c r="O65" s="114"/>
      <c r="P65" s="114"/>
      <c r="Q65" s="114"/>
    </row>
    <row r="66" spans="13:17" x14ac:dyDescent="0.25">
      <c r="M66" s="114"/>
      <c r="N66" s="114"/>
      <c r="O66" s="114"/>
      <c r="P66" s="114"/>
      <c r="Q66" s="114"/>
    </row>
    <row r="67" spans="13:17" x14ac:dyDescent="0.25">
      <c r="M67" s="114"/>
      <c r="N67" s="114"/>
      <c r="O67" s="114"/>
      <c r="P67" s="114"/>
      <c r="Q67" s="114"/>
    </row>
    <row r="68" spans="13:17" x14ac:dyDescent="0.25">
      <c r="M68" s="114"/>
      <c r="N68" s="114"/>
      <c r="O68" s="114"/>
      <c r="P68" s="114"/>
      <c r="Q68" s="114"/>
    </row>
    <row r="69" spans="13:17" x14ac:dyDescent="0.25">
      <c r="M69" s="114"/>
      <c r="N69" s="114"/>
      <c r="O69" s="114"/>
      <c r="P69" s="114"/>
      <c r="Q69" s="114"/>
    </row>
    <row r="70" spans="13:17" x14ac:dyDescent="0.25">
      <c r="M70" s="114"/>
      <c r="N70" s="114"/>
      <c r="O70" s="114"/>
      <c r="P70" s="114"/>
      <c r="Q70" s="114"/>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1" t="s">
        <v>198</v>
      </c>
      <c r="B22" s="222"/>
      <c r="C22" s="222"/>
      <c r="D22" s="222"/>
      <c r="E22" s="223"/>
      <c r="G22" s="221" t="s">
        <v>199</v>
      </c>
      <c r="H22" s="222"/>
      <c r="I22" s="222"/>
      <c r="J22" s="222"/>
      <c r="K22" s="223"/>
      <c r="L22" s="22"/>
      <c r="M22" s="221" t="s">
        <v>35</v>
      </c>
      <c r="N22" s="222"/>
      <c r="O22" s="222"/>
      <c r="P22" s="222"/>
      <c r="Q22" s="223"/>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74.25" customHeight="1" x14ac:dyDescent="0.25">
      <c r="A49" s="22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2017-05-02T17:38:21Z</dcterms:modified>
</cp:coreProperties>
</file>