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Unified towns &amp; gores\"/>
    </mc:Choice>
  </mc:AlternateContent>
  <bookViews>
    <workbookView xWindow="0" yWindow="0" windowWidth="28800" windowHeight="11610" tabRatio="838" firstSheet="1" activeTab="14"/>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G21" i="201"/>
  <c r="D21" i="201"/>
  <c r="D20" i="201"/>
  <c r="D19" i="201"/>
  <c r="G19" i="201" s="1"/>
  <c r="G18" i="201"/>
  <c r="D18" i="201"/>
  <c r="D17" i="201"/>
  <c r="G17" i="201" s="1"/>
  <c r="D16" i="201"/>
  <c r="D15" i="201"/>
  <c r="G15" i="201" s="1"/>
  <c r="D14" i="201"/>
  <c r="G14" i="201" s="1"/>
  <c r="D13" i="201"/>
  <c r="G13" i="201" s="1"/>
  <c r="D12" i="201"/>
  <c r="D11" i="201"/>
  <c r="G11" i="201" s="1"/>
  <c r="D10" i="201"/>
  <c r="G10" i="201" s="1"/>
  <c r="D9" i="201"/>
  <c r="G9" i="201" s="1"/>
  <c r="D8" i="201"/>
  <c r="E5" i="201"/>
  <c r="E4" i="201"/>
  <c r="D3" i="201"/>
  <c r="E3" i="201" s="1"/>
  <c r="E26" i="201" s="1"/>
  <c r="C3" i="201"/>
  <c r="B3" i="201"/>
  <c r="E34" i="201" l="1"/>
  <c r="E17" i="201"/>
  <c r="H17" i="201" s="1"/>
  <c r="E10" i="201"/>
  <c r="G8" i="201"/>
  <c r="E8" i="201"/>
  <c r="E56" i="201"/>
  <c r="E54" i="201"/>
  <c r="E52" i="201"/>
  <c r="H52" i="201" s="1"/>
  <c r="E50" i="201"/>
  <c r="H50" i="201" s="1"/>
  <c r="E48" i="201"/>
  <c r="E46" i="201"/>
  <c r="E44" i="201"/>
  <c r="H44" i="201" s="1"/>
  <c r="E42" i="201"/>
  <c r="H42" i="201" s="1"/>
  <c r="H10" i="201"/>
  <c r="E13" i="201"/>
  <c r="G20" i="201"/>
  <c r="H20" i="201" s="1"/>
  <c r="E20" i="201"/>
  <c r="E22" i="201"/>
  <c r="E24" i="201"/>
  <c r="H24" i="201" s="1"/>
  <c r="E32" i="201"/>
  <c r="E40" i="201"/>
  <c r="E9" i="201"/>
  <c r="H9" i="201" s="1"/>
  <c r="G16" i="201"/>
  <c r="H16" i="201" s="1"/>
  <c r="E16" i="201"/>
  <c r="E18" i="201"/>
  <c r="H18" i="201" s="1"/>
  <c r="H22" i="201"/>
  <c r="E30" i="201"/>
  <c r="H30" i="201" s="1"/>
  <c r="E38" i="201"/>
  <c r="G12" i="201"/>
  <c r="E12" i="201"/>
  <c r="E14" i="201"/>
  <c r="H14" i="201" s="1"/>
  <c r="E21" i="201"/>
  <c r="H21" i="201" s="1"/>
  <c r="E28" i="201"/>
  <c r="H28" i="201" s="1"/>
  <c r="E36" i="201"/>
  <c r="H13" i="201"/>
  <c r="H29" i="201"/>
  <c r="H45" i="201"/>
  <c r="E11" i="201"/>
  <c r="H11" i="201" s="1"/>
  <c r="E15" i="201"/>
  <c r="H15" i="201" s="1"/>
  <c r="E19" i="201"/>
  <c r="H19" i="201" s="1"/>
  <c r="E23" i="201"/>
  <c r="H23" i="201" s="1"/>
  <c r="E25" i="201"/>
  <c r="H25" i="201" s="1"/>
  <c r="E27" i="201"/>
  <c r="H27" i="201" s="1"/>
  <c r="E29" i="201"/>
  <c r="E31" i="201"/>
  <c r="H31" i="201" s="1"/>
  <c r="E33" i="201"/>
  <c r="H33" i="201" s="1"/>
  <c r="E35" i="201"/>
  <c r="H35" i="201" s="1"/>
  <c r="E37" i="201"/>
  <c r="H37" i="201" s="1"/>
  <c r="E39" i="201"/>
  <c r="H39" i="201" s="1"/>
  <c r="E41" i="201"/>
  <c r="H41" i="201" s="1"/>
  <c r="E43" i="201"/>
  <c r="H43" i="201" s="1"/>
  <c r="E45" i="201"/>
  <c r="E47" i="201"/>
  <c r="H47" i="201" s="1"/>
  <c r="E49" i="201"/>
  <c r="H49" i="201" s="1"/>
  <c r="E51" i="201"/>
  <c r="H51" i="201" s="1"/>
  <c r="E53" i="201"/>
  <c r="H53" i="201" s="1"/>
  <c r="E55" i="201"/>
  <c r="H55" i="201" s="1"/>
  <c r="E57" i="201"/>
  <c r="H57" i="201" s="1"/>
  <c r="H26" i="201"/>
  <c r="H32" i="201"/>
  <c r="H34" i="201"/>
  <c r="H36" i="201"/>
  <c r="H38" i="201"/>
  <c r="H40" i="201"/>
  <c r="H46" i="201"/>
  <c r="H48" i="201"/>
  <c r="H54" i="201"/>
  <c r="H56" i="201"/>
  <c r="H12" i="201" l="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E68" i="197"/>
  <c r="AA88" i="197"/>
  <c r="S116" i="197"/>
  <c r="AE120" i="197"/>
  <c r="S132" i="197"/>
  <c r="AB140" i="197"/>
  <c r="T148" i="197"/>
  <c r="AE152" i="197"/>
  <c r="S164" i="197"/>
  <c r="AB168" i="197"/>
  <c r="AE176" i="197"/>
  <c r="T180" i="197"/>
  <c r="W184" i="197"/>
  <c r="V188" i="197"/>
  <c r="V196" i="197"/>
  <c r="AD196" i="197"/>
  <c r="AD204" i="197"/>
  <c r="Y208" i="197"/>
  <c r="Y216" i="197"/>
  <c r="V220" i="197"/>
  <c r="V228" i="197"/>
  <c r="AD228" i="197"/>
  <c r="Y236" i="197"/>
  <c r="AD236" i="197"/>
  <c r="AB240" i="197"/>
  <c r="V244" i="197"/>
  <c r="X248" i="197"/>
  <c r="AC248" i="197"/>
  <c r="R44" i="197"/>
  <c r="R60" i="197"/>
  <c r="R108" i="197"/>
  <c r="R124"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X237" i="197" s="1"/>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R140" i="197"/>
  <c r="AB244" i="197"/>
  <c r="Y232" i="197"/>
  <c r="AD220" i="197"/>
  <c r="V212" i="197"/>
  <c r="Y200" i="197"/>
  <c r="AD188" i="197"/>
  <c r="AE180" i="197"/>
  <c r="AB172" i="197"/>
  <c r="AA156" i="197"/>
  <c r="W144" i="197"/>
  <c r="AA124" i="197"/>
  <c r="T96"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107" i="197" s="1"/>
  <c r="AK4" i="197"/>
  <c r="AH246" i="197" s="1"/>
  <c r="AH108" i="197"/>
  <c r="AH220" i="197"/>
  <c r="AH91" i="197"/>
  <c r="AH82" i="197"/>
  <c r="AH137" i="197"/>
  <c r="AH9" i="197"/>
  <c r="AH87" i="197"/>
  <c r="AH23" i="197"/>
  <c r="AH181" i="197"/>
  <c r="AH85" i="197"/>
  <c r="AH52" i="197"/>
  <c r="AH36" i="197"/>
  <c r="AH115" i="197"/>
  <c r="AH35" i="197"/>
  <c r="AH58" i="197"/>
  <c r="AH112" i="197"/>
  <c r="AH96" i="197"/>
  <c r="AH191" i="197"/>
  <c r="AH79" i="197"/>
  <c r="AH205" i="197"/>
  <c r="AH141"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35" i="186"/>
  <c r="F29" i="186"/>
  <c r="F28" i="186"/>
  <c r="E41" i="186"/>
  <c r="F38" i="186" s="1"/>
  <c r="AH45" i="197" l="1"/>
  <c r="AH175" i="197"/>
  <c r="AH129" i="197"/>
  <c r="AH4" i="197"/>
  <c r="AH101" i="197"/>
  <c r="AH199" i="197"/>
  <c r="AH59" i="197"/>
  <c r="AH7" i="197"/>
  <c r="AH177" i="197"/>
  <c r="AH13" i="197"/>
  <c r="AH86" i="197"/>
  <c r="AH64" i="197"/>
  <c r="AH42" i="197"/>
  <c r="AH147" i="197"/>
  <c r="AH37" i="197"/>
  <c r="AH213" i="197"/>
  <c r="AH56" i="197"/>
  <c r="AH226" i="197"/>
  <c r="AH230" i="197"/>
  <c r="AH190" i="197"/>
  <c r="AH60" i="197"/>
  <c r="AH179" i="197"/>
  <c r="AH168" i="197"/>
  <c r="AH148" i="197"/>
  <c r="AH155" i="197"/>
  <c r="AH171" i="197"/>
  <c r="F39" i="186"/>
  <c r="AH31" i="197"/>
  <c r="AH16" i="197"/>
  <c r="AH234" i="197"/>
  <c r="AH138" i="197"/>
  <c r="AH211" i="197"/>
  <c r="AH116" i="197"/>
  <c r="AH133" i="197"/>
  <c r="AH55" i="197"/>
  <c r="AH104" i="197"/>
  <c r="AH114" i="197"/>
  <c r="AH198" i="197"/>
  <c r="AH117" i="197"/>
  <c r="AH18" i="197"/>
  <c r="F32" i="186"/>
  <c r="F27" i="186"/>
  <c r="F33" i="186"/>
  <c r="F40"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l="1"/>
  <c r="J25" i="196" s="1"/>
  <c r="V7" i="199"/>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H4" i="194"/>
  <c r="E256" i="194" s="1"/>
  <c r="H3" i="194"/>
  <c r="E204" i="194" s="1"/>
  <c r="E47" i="194"/>
  <c r="H12" i="194"/>
  <c r="E91" i="194" s="1"/>
  <c r="H2" i="194"/>
  <c r="E32" i="194" s="1"/>
  <c r="E237" i="194"/>
  <c r="E213" i="194"/>
  <c r="E209" i="194"/>
  <c r="E193" i="194"/>
  <c r="E101" i="194"/>
  <c r="E37" i="194"/>
  <c r="E29" i="194"/>
  <c r="H6" i="194"/>
  <c r="E102" i="194" s="1"/>
  <c r="H10" i="194"/>
  <c r="E230" i="194" s="1"/>
  <c r="J24" i="196"/>
  <c r="D24" i="196"/>
  <c r="D29" i="196"/>
  <c r="J8" i="196"/>
  <c r="C13" i="196"/>
  <c r="C8" i="196"/>
  <c r="E49" i="196"/>
  <c r="K29" i="196"/>
  <c r="E28" i="196"/>
  <c r="K7" i="196"/>
  <c r="K13" i="196"/>
  <c r="B9" i="196"/>
  <c r="B4" i="196"/>
  <c r="H28" i="196"/>
  <c r="B27" i="196"/>
  <c r="H6" i="196"/>
  <c r="C28" i="196"/>
  <c r="E11" i="196"/>
  <c r="I27" i="196"/>
  <c r="D13" i="196"/>
  <c r="D5" i="196"/>
  <c r="I4" i="196"/>
  <c r="E12" i="196"/>
  <c r="E4" i="196"/>
  <c r="I5" i="196"/>
  <c r="D12" i="196"/>
  <c r="D4" i="196"/>
  <c r="D6" i="196" l="1"/>
  <c r="I13" i="196"/>
  <c r="C27" i="196"/>
  <c r="E6" i="196"/>
  <c r="H13" i="196"/>
  <c r="C26" i="196"/>
  <c r="D7" i="196"/>
  <c r="I10" i="196"/>
  <c r="C49" i="196"/>
  <c r="E13" i="196"/>
  <c r="I26" i="196"/>
  <c r="H5" i="196"/>
  <c r="B26" i="196"/>
  <c r="H26" i="196"/>
  <c r="B5" i="196"/>
  <c r="B10" i="196"/>
  <c r="K11" i="196"/>
  <c r="K6" i="196"/>
  <c r="E27" i="196"/>
  <c r="K27" i="196"/>
  <c r="K30" i="196" s="1"/>
  <c r="C4" i="196"/>
  <c r="C9" i="196"/>
  <c r="J12" i="196"/>
  <c r="J7" i="196"/>
  <c r="D28" i="196"/>
  <c r="J28" i="196"/>
  <c r="D49" i="196"/>
  <c r="D8" i="196"/>
  <c r="D14" i="196" s="1"/>
  <c r="I11" i="196"/>
  <c r="I29" i="196"/>
  <c r="E8" i="196"/>
  <c r="H11" i="196"/>
  <c r="I28" i="196"/>
  <c r="D9" i="196"/>
  <c r="I7" i="196"/>
  <c r="E5" i="196"/>
  <c r="H10" i="196"/>
  <c r="H9" i="196"/>
  <c r="H4" i="196"/>
  <c r="H14" i="196" s="1"/>
  <c r="B24" i="196"/>
  <c r="H25" i="196"/>
  <c r="B6" i="196"/>
  <c r="B12" i="196"/>
  <c r="K10" i="196"/>
  <c r="K5" i="196"/>
  <c r="E25" i="196"/>
  <c r="K26" i="196"/>
  <c r="C5" i="196"/>
  <c r="C11" i="196"/>
  <c r="J11" i="196"/>
  <c r="J6" i="196"/>
  <c r="D26" i="196"/>
  <c r="J27" i="196"/>
  <c r="D10" i="196"/>
  <c r="I9" i="196"/>
  <c r="I25" i="196"/>
  <c r="E10" i="196"/>
  <c r="I8" i="196"/>
  <c r="I24" i="196"/>
  <c r="I30" i="196" s="1"/>
  <c r="D11" i="196"/>
  <c r="C29" i="196"/>
  <c r="E9" i="196"/>
  <c r="I6" i="196"/>
  <c r="H8" i="196"/>
  <c r="B28" i="196"/>
  <c r="H29" i="196"/>
  <c r="H24" i="196"/>
  <c r="H30" i="196" s="1"/>
  <c r="B8" i="196"/>
  <c r="B13" i="196"/>
  <c r="K9" i="196"/>
  <c r="E29" i="196"/>
  <c r="E24" i="196"/>
  <c r="E30" i="196" s="1"/>
  <c r="K25" i="196"/>
  <c r="C7" i="196"/>
  <c r="C12" i="196"/>
  <c r="J10" i="196"/>
  <c r="J4" i="196"/>
  <c r="D25" i="196"/>
  <c r="J26" i="196"/>
  <c r="J30" i="196" s="1"/>
  <c r="E121" i="194"/>
  <c r="E225" i="194"/>
  <c r="E31" i="194"/>
  <c r="E82" i="194"/>
  <c r="I12" i="196"/>
  <c r="C25" i="196"/>
  <c r="E7" i="196"/>
  <c r="H12" i="196"/>
  <c r="C24" i="196"/>
  <c r="H7" i="196"/>
  <c r="B29" i="196"/>
  <c r="B25" i="196"/>
  <c r="H27" i="196"/>
  <c r="B49" i="196"/>
  <c r="B7" i="196"/>
  <c r="B11" i="196"/>
  <c r="K12" i="196"/>
  <c r="K8" i="196"/>
  <c r="K4" i="196"/>
  <c r="E26" i="196"/>
  <c r="K28" i="196"/>
  <c r="K24" i="196"/>
  <c r="C6" i="196"/>
  <c r="C10" i="196"/>
  <c r="J13" i="196"/>
  <c r="J9" i="196"/>
  <c r="J5" i="196"/>
  <c r="D27" i="196"/>
  <c r="J29" i="196"/>
  <c r="E69" i="194"/>
  <c r="E74" i="194"/>
  <c r="E186" i="194"/>
  <c r="E173" i="194"/>
  <c r="E22" i="194"/>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I14" i="196"/>
  <c r="J14"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14" i="196" l="1"/>
  <c r="E14" i="196"/>
  <c r="D30" i="196"/>
  <c r="C14" i="196"/>
  <c r="C30" i="196"/>
  <c r="B14" i="196"/>
  <c r="B30" i="196"/>
  <c r="K29" i="199"/>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C26" i="189" s="1"/>
  <c r="K34" i="193"/>
  <c r="D63" i="188"/>
  <c r="K43" i="193" s="1"/>
  <c r="C63" i="188"/>
  <c r="J43" i="193" s="1"/>
  <c r="J34" i="193"/>
  <c r="D57" i="188"/>
  <c r="C57" i="188"/>
  <c r="D66" i="188"/>
  <c r="D60" i="188"/>
  <c r="L27" i="193"/>
  <c r="E32" i="188"/>
  <c r="C66" i="188"/>
  <c r="C60" i="188"/>
  <c r="D25" i="189" l="1"/>
  <c r="D26" i="189" s="1"/>
  <c r="C27" i="189"/>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7" i="189" l="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D81" i="188" s="1"/>
  <c r="D82" i="188" s="1"/>
  <c r="C78" i="188"/>
  <c r="C79" i="188" s="1"/>
  <c r="C75" i="188"/>
  <c r="C76" i="188" s="1"/>
  <c r="C84" i="188"/>
  <c r="C85"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<sst xmlns="http://schemas.openxmlformats.org/spreadsheetml/2006/main" count="1628" uniqueCount="563">
  <si>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</si>
  <si>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</si>
  <si>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</si>
  <si>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</si>
  <si>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</si>
  <si>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</si>
  <si>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</si>
  <si>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</si>
  <si>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</si>
  <si>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</si>
  <si>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</si>
  <si>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</si>
  <si>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</si>
  <si>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</si>
  <si>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</si>
  <si>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</si>
  <si>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</si>
  <si>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</si>
  <si>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</si>
  <si>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</si>
  <si>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</si>
  <si>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</si>
  <si>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</si>
  <si>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</si>
  <si>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</si>
  <si>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</si>
  <si>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</si>
  <si>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</si>
  <si>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</si>
  <si>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</si>
  <si>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</si>
  <si>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</si>
  <si>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</si>
  <si>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</si>
  <si>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</si>
  <si>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</si>
  <si>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</si>
  <si>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</si>
  <si>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</si>
  <si>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</si>
  <si>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</si>
  <si>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</si>
  <si>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</si>
  <si>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</si>
  <si>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</si>
  <si>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</si>
  <si>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</si>
  <si>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</si>
  <si>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</si>
  <si>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</si>
  <si>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</si>
  <si>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</si>
  <si>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</si>
  <si>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</si>
  <si>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</si>
  <si>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</si>
  <si>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</si>
  <si>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</si>
  <si>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</si>
  <si>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</si>
  <si>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</si>
  <si>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</si>
  <si>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</si>
  <si>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</si>
  <si>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</si>
  <si>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</si>
  <si>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</si>
  <si>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</si>
  <si>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</si>
  <si>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</si>
  <si>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</si>
  <si>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</si>
  <si>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</si>
  <si>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</si>
  <si>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</si>
  <si>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</si>
  <si>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</si>
  <si>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</si>
  <si>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</si>
  <si>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</si>
  <si>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</si>
  <si>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</si>
  <si>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</si>
  <si>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</si>
  <si>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</si>
  <si>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</si>
  <si>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</si>
  <si>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</si>
  <si>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</si>
  <si>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</si>
  <si>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</si>
  <si>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</si>
  <si>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</si>
  <si>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</si>
  <si>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</si>
  <si>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</si>
  <si>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</si>
  <si>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</si>
  <si>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</si>
  <si>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</si>
  <si>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</si>
  <si>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</si>
  <si>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</si>
  <si>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</si>
  <si>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</si>
  <si>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</si>
  <si>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</si>
  <si>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</si>
  <si>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</si>
  <si>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</si>
  <si>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</si>
  <si>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</si>
  <si>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</si>
  <si>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</si>
  <si>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</si>
  <si>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</si>
  <si>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</si>
  <si>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</si>
  <si>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</si>
  <si>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</si>
  <si>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</si>
  <si>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</si>
  <si>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</si>
  <si>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</si>
  <si>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</si>
  <si>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</si>
  <si>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</si>
  <si>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</si>
  <si>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</si>
  <si>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</si>
  <si>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</si>
  <si>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</si>
  <si>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</si>
  <si>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</si>
  <si>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</si>
  <si>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</si>
  <si>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</si>
  <si>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</si>
  <si>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</si>
  <si>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</si>
  <si>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</si>
  <si>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</si>
  <si>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</si>
  <si>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</si>
  <si>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</si>
  <si>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</si>
  <si>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</si>
  <si>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</si>
  <si>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</si>
  <si>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</si>
  <si>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</si>
  <si>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</si>
  <si>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</si>
  <si>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</si>
  <si>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</si>
  <si>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</si>
  <si>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</si>
  <si>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</si>
  <si>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</si>
  <si>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</si>
  <si>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</si>
  <si>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</si>
  <si>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</si>
  <si>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</si>
  <si>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</si>
  <si>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</si>
  <si>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</si>
  <si>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</si>
  <si>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</si>
  <si>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</si>
  <si>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</si>
  <si>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</si>
  <si>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</si>
  <si>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</si>
  <si>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</si>
  <si>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</si>
  <si>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</si>
  <si>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</si>
  <si>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</si>
  <si>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</si>
  <si>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</si>
  <si>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</si>
  <si>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</si>
  <si>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</si>
  <si>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</si>
  <si>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</si>
  <si>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</si>
  <si>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</si>
  <si>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</si>
  <si>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</si>
  <si>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</si>
  <si>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</si>
  <si>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</si>
  <si>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</si>
  <si>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</si>
  <si>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</si>
  <si>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</si>
  <si>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</si>
  <si>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</si>
  <si>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</si>
  <si>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</si>
  <si>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</si>
  <si>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</si>
  <si>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</si>
  <si>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</si>
  <si>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</si>
  <si>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</si>
  <si>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</si>
  <si>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</si>
  <si>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</si>
  <si>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</si>
  <si>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</si>
  <si>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</si>
  <si>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</si>
  <si>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</si>
  <si>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</si>
  <si>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</si>
  <si>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</si>
  <si>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</si>
  <si>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</si>
  <si>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</si>
  <si>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</si>
  <si>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</si>
  <si>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</si>
  <si>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</si>
  <si>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</si>
  <si>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</si>
  <si>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</si>
  <si>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</si>
  <si>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</si>
  <si>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</si>
  <si>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</si>
  <si>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</si>
  <si>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</si>
  <si>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</si>
  <si>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</si>
  <si>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</si>
  <si>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</si>
  <si>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</si>
  <si>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</si>
  <si>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</si>
  <si>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</si>
  <si>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</si>
  <si>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</si>
  <si>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</si>
  <si>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</si>
  <si>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</si>
  <si>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</si>
  <si>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</si>
  <si>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</si>
  <si>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</si>
  <si>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</si>
  <si>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</si>
  <si>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</si>
  <si>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</si>
  <si>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</si>
  <si>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</si>
  <si>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</si>
  <si>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</si>
  <si>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</si>
  <si>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</si>
  <si>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</si>
  <si>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</si>
  <si>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</si>
  <si>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</si>
  <si>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</si>
  <si>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</si>
  <si>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</si>
  <si>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</si>
  <si>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</si>
  <si>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</si>
  <si>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</si>
  <si>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</si>
  <si>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</si>
  <si>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</si>
  <si>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</si>
  <si>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</si>
  <si>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</si>
  <si>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</si>
  <si>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</si>
  <si>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</si>
  <si>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</si>
  <si>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</si>
  <si>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</si>
  <si>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</si>
  <si>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</si>
  <si>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</si>
  <si>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</si>
  <si>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</si>
  <si>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</si>
  <si>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</si>
  <si>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</si>
  <si>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</si>
  <si>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</si>
  <si>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</si>
  <si>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</si>
  <si>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</si>
  <si>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</si>
  <si>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</si>
  <si>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</si>
  <si>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</si>
  <si>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</si>
  <si>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</si>
  <si>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</si>
  <si>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</si>
  <si>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</si>
  <si>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</si>
  <si>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</si>
  <si>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</si>
  <si>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</si>
  <si>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</si>
  <si>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</si>
  <si>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</si>
  <si>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</si>
  <si>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</si>
  <si>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</si>
  <si>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</si>
  <si>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</si>
  <si>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</si>
  <si>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</si>
  <si>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</si>
  <si>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</si>
  <si>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</si>
  <si>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</si>
  <si>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</si>
  <si>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</si>
  <si>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</si>
  <si>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</si>
  <si>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</si>
  <si>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</si>
  <si>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</si>
  <si>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</si>
  <si>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</si>
  <si>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</si>
  <si>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</si>
  <si>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</si>
  <si>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</si>
  <si>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</si>
  <si>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</si>
  <si>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</si>
  <si>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</si>
  <si>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</si>
  <si>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</si>
  <si>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</si>
  <si>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</si>
  <si>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</si>
  <si>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</si>
  <si>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</si>
  <si>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</si>
  <si>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</si>
  <si>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</si>
  <si>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</si>
  <si>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</si>
  <si>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</si>
  <si>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</si>
  <si>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</si>
  <si>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</si>
  <si>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</si>
  <si>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</si>
  <si>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</si>
  <si>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</si>
  <si>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</si>
  <si>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</si>
  <si>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</si>
  <si>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</si>
  <si>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</si>
  <si>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</si>
  <si>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</si>
  <si>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</si>
  <si>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</si>
  <si>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</si>
  <si>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</si>
  <si>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</si>
  <si>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</si>
  <si>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</si>
  <si>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</si>
  <si>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</si>
  <si>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</si>
  <si>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</si>
  <si>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</si>
  <si>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</si>
  <si>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</si>
  <si>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</si>
  <si>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</si>
  <si>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</si>
  <si>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</si>
  <si>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</si>
  <si>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</si>
  <si>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</si>
  <si>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</si>
  <si>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</si>
  <si>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</si>
  <si>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</si>
  <si>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</si>
  <si>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</si>
  <si>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</si>
  <si>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</si>
  <si>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</si>
  <si>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</si>
  <si>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</si>
  <si>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</si>
  <si>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</si>
  <si>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</si>
  <si>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</si>
  <si>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</si>
  <si>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</si>
  <si>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</si>
  <si>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</si>
  <si>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</si>
  <si>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</si>
  <si>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</si>
  <si>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</si>
  <si>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</si>
  <si>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</si>
  <si>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</si>
  <si>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</si>
  <si>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</si>
  <si>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</si>
  <si>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</si>
  <si>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</si>
  <si>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</si>
  <si>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</si>
  <si>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</si>
  <si>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</si>
  <si>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</si>
  <si>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</si>
  <si>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</si>
  <si>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</si>
  <si>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</si>
  <si>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</si>
  <si>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</si>
  <si>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</si>
  <si>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</si>
  <si>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</si>
  <si>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</si>
  <si>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</si>
  <si>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</si>
  <si>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</si>
  <si>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</si>
  <si>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</si>
  <si>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</si>
  <si>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</si>
  <si>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</si>
  <si>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</si>
  <si>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</si>
  <si>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</si>
  <si>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</si>
  <si>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</si>
  <si>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</si>
  <si>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</si>
  <si>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</si>
  <si>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</si>
  <si>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</si>
  <si>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</si>
  <si>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</si>
  <si>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</si>
  <si>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</si>
  <si>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</si>
  <si>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</si>
  <si>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</si>
  <si>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</si>
  <si>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</si>
  <si>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</si>
  <si>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</si>
  <si>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</si>
  <si>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</si>
  <si>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</si>
  <si>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</si>
  <si>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</si>
  <si>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</si>
  <si>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</si>
  <si>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</si>
  <si>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</si>
  <si>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</si>
  <si>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</si>
  <si>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</si>
  <si>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</si>
  <si>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</si>
  <si>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</si>
  <si>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</si>
  <si>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</si>
  <si>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</si>
  <si>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</si>
  <si>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</si>
  <si>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</si>
  <si>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</si>
  <si>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</si>
  <si>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</si>
  <si>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</si>
  <si>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</si>
  <si>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</si>
  <si>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</si>
  <si>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</si>
  <si>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</si>
  <si>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</si>
  <si>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</si>
  <si>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</si>
  <si>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</si>
  <si>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</si>
  <si>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</si>
  <si>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</si>
  <si>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</si>
  <si>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</si>
  <si>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</si>
  <si>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</si>
  <si>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</si>
  <si>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</si>
  <si>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</si>
  <si>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</si>
  <si>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</si>
  <si>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</si>
  <si>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</si>
  <si>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</si>
  <si>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</si>
  <si>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</si>
  <si>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</si>
  <si>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</si>
  <si>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</si>
  <si>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</si>
  <si>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</si>
  <si>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</si>
  <si>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</si>
  <si>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</si>
  <si>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</si>
  <si>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</si>
  <si>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</si>
  <si>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</si>
  <si>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</si>
  <si>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</si>
  <si>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</si>
  <si>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</si>
  <si>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</si>
  <si>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</si>
  <si>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</si>
  <si>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</si>
  <si>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</si>
  <si>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</si>
  <si>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</si>
  <si>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</si>
  <si>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</si>
  <si>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</si>
  <si>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</si>
  <si>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</si>
  <si>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</si>
  <si>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</si>
  <si>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</si>
  <si>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</si>
  <si>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</si>
  <si>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</si>
  <si>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</si>
  <si>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</si>
  <si>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</si>
  <si>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</si>
  <si>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</si>
  <si>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</si>
  <si>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</si>
  <si>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</si>
  <si>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</si>
  <si>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</si>
  <si>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</si>
  <si>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</si>
  <si>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</si>
  <si>
    <t>Unified Towns &amp; Gores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</si>
</sst>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4">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3" fontId="0" fillId="0" borderId="0" xfId="0" applyNumberFormat="1" applyFill="1" applyBorder="1"/>
    <xf numFmtId="164" fontId="0" fillId="0" borderId="0" xfId="2" applyNumberFormat="1" applyFont="1" applyFill="1" applyBorder="1"/>
    <xf numFmtId="1" fontId="0" fillId="0" borderId="0" xfId="0" applyNumberFormat="1" applyFill="1" applyBorder="1"/>
    <xf numFmtId="167" fontId="0" fillId="0" borderId="0" xfId="1" applyNumberFormat="1" applyFont="1" applyFill="1" applyBorder="1"/>
    <xf numFmtId="164" fontId="1" fillId="0" borderId="0" xfId="2" applyNumberFormat="1" applyFont="1"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7"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26" t="s">
        <v>25</v>
      </c>
      <c r="B2" s="227"/>
      <c r="C2" s="227"/>
      <c r="D2" s="227"/>
      <c r="E2" s="228"/>
      <c r="G2" s="226" t="s">
        <v>30</v>
      </c>
      <c r="H2" s="227"/>
      <c r="I2" s="227"/>
      <c r="J2" s="227"/>
      <c r="K2" s="228"/>
      <c r="M2" s="226" t="s">
        <v>31</v>
      </c>
      <c r="N2" s="227"/>
      <c r="O2" s="227"/>
      <c r="P2" s="227"/>
      <c r="Q2" s="228"/>
      <c r="R2" s="10"/>
      <c r="S2" s="226" t="s">
        <v>32</v>
      </c>
      <c r="T2" s="227"/>
      <c r="U2" s="227"/>
      <c r="V2" s="227"/>
      <c r="W2" s="228"/>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26" t="s">
        <v>33</v>
      </c>
      <c r="B22" s="227"/>
      <c r="C22" s="227"/>
      <c r="D22" s="227"/>
      <c r="E22" s="228"/>
      <c r="G22" s="226" t="s">
        <v>34</v>
      </c>
      <c r="H22" s="227"/>
      <c r="I22" s="227"/>
      <c r="J22" s="227"/>
      <c r="K22" s="228"/>
      <c r="M22" s="230" t="s">
        <v>35</v>
      </c>
      <c r="N22" s="231"/>
      <c r="O22" s="231"/>
      <c r="P22" s="231"/>
      <c r="Q22" s="232"/>
      <c r="S22" s="226" t="s">
        <v>36</v>
      </c>
      <c r="T22" s="227"/>
      <c r="U22" s="227"/>
      <c r="V22" s="227"/>
      <c r="W22" s="228"/>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29" t="s">
        <v>42</v>
      </c>
      <c r="B48" s="17">
        <v>2015</v>
      </c>
      <c r="C48" s="17">
        <v>2025</v>
      </c>
      <c r="D48" s="17">
        <v>2035</v>
      </c>
      <c r="E48" s="17">
        <v>2050</v>
      </c>
    </row>
    <row r="49" spans="1:5" ht="74.25" customHeight="1" x14ac:dyDescent="0.25">
      <c r="A49" s="229"/>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538</v>
      </c>
    </row>
    <row r="2" spans="1:25" ht="32.25" customHeight="1" x14ac:dyDescent="0.25">
      <c r="A2" s="226" t="s">
        <v>25</v>
      </c>
      <c r="B2" s="227"/>
      <c r="C2" s="227"/>
      <c r="D2" s="227"/>
      <c r="E2" s="228"/>
      <c r="G2" s="226" t="s">
        <v>30</v>
      </c>
      <c r="H2" s="227"/>
      <c r="I2" s="227"/>
      <c r="J2" s="227"/>
      <c r="K2" s="228"/>
      <c r="M2" s="226" t="s">
        <v>31</v>
      </c>
      <c r="N2" s="227"/>
      <c r="O2" s="227"/>
      <c r="P2" s="227"/>
      <c r="Q2" s="228"/>
      <c r="R2" s="10"/>
      <c r="S2" s="226" t="s">
        <v>32</v>
      </c>
      <c r="T2" s="227"/>
      <c r="U2" s="227"/>
      <c r="V2" s="227"/>
      <c r="W2" s="228"/>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0.41737042583150014</v>
      </c>
      <c r="I4" s="4">
        <f>res_share_state_target*'LEAP Statewide'!I4</f>
        <v>2.5236351329346518</v>
      </c>
      <c r="J4" s="4">
        <f>res_share_state_target*'LEAP Statewide'!J4</f>
        <v>4.7609347411709493</v>
      </c>
      <c r="K4" s="5">
        <f>res_share_state_target*'LEAP Statewide'!K4</f>
        <v>8.7647789424615024</v>
      </c>
      <c r="L4" s="21"/>
      <c r="M4" s="1" t="s">
        <v>13</v>
      </c>
      <c r="N4" s="4" t="e">
        <f ca="1">com_share_state_target*'LEAP Statewide'!N4</f>
        <v>#N/A</v>
      </c>
      <c r="O4" s="4" t="e">
        <f ca="1">com_share_state_target*'LEAP Statewide'!O4</f>
        <v>#N/A</v>
      </c>
      <c r="P4" s="4" t="e">
        <f ca="1">com_share_state_target*'LEAP Statewide'!P4</f>
        <v>#N/A</v>
      </c>
      <c r="Q4" s="5" t="e">
        <f ca="1">com_share_state_target*'LEAP Statewide'!Q4</f>
        <v>#N/A</v>
      </c>
      <c r="R4" s="2"/>
      <c r="S4" s="1" t="s">
        <v>13</v>
      </c>
      <c r="T4" s="4" t="e">
        <f ca="1">com_share_state_target*'LEAP Statewide'!T4</f>
        <v>#N/A</v>
      </c>
      <c r="U4" s="4" t="e">
        <f ca="1">com_share_state_target*'LEAP Statewide'!U4</f>
        <v>#N/A</v>
      </c>
      <c r="V4" s="4" t="e">
        <f ca="1">com_share_state_target*'LEAP Statewide'!V4</f>
        <v>#N/A</v>
      </c>
      <c r="W4" s="5" t="e">
        <f ca="1">com_share_state_target*'LEAP Statewide'!W4</f>
        <v>#N/A</v>
      </c>
      <c r="Y4" s="23"/>
    </row>
    <row r="5" spans="1:25" x14ac:dyDescent="0.25">
      <c r="A5" s="1" t="s">
        <v>3</v>
      </c>
      <c r="B5" s="4">
        <f>res_share_state_target*'LEAP Statewide'!B5</f>
        <v>36.781982062522552</v>
      </c>
      <c r="C5" s="4">
        <f>res_share_state_target*'LEAP Statewide'!C5</f>
        <v>33.884654804134115</v>
      </c>
      <c r="D5" s="4">
        <f>res_share_state_target*'LEAP Statewide'!D5</f>
        <v>31.530879728223912</v>
      </c>
      <c r="E5" s="5">
        <f>res_share_state_target*'LEAP Statewide'!E5</f>
        <v>28.55590215805287</v>
      </c>
      <c r="G5" s="1" t="s">
        <v>3</v>
      </c>
      <c r="H5" s="4">
        <f>res_share_state_target*'LEAP Statewide'!H5</f>
        <v>36.893604385710049</v>
      </c>
      <c r="I5" s="4">
        <f>res_share_state_target*'LEAP Statewide'!I5</f>
        <v>34.632039055041687</v>
      </c>
      <c r="J5" s="4">
        <f>res_share_state_target*'LEAP Statewide'!J5</f>
        <v>32.331648568482024</v>
      </c>
      <c r="K5" s="5">
        <f>res_share_state_target*'LEAP Statewide'!K5</f>
        <v>30.788348621802754</v>
      </c>
      <c r="L5" s="21"/>
      <c r="M5" s="1" t="s">
        <v>14</v>
      </c>
      <c r="N5" s="4" t="e">
        <f ca="1">com_share_state_target*'LEAP Statewide'!N5</f>
        <v>#N/A</v>
      </c>
      <c r="O5" s="4" t="e">
        <f ca="1">com_share_state_target*'LEAP Statewide'!O5</f>
        <v>#N/A</v>
      </c>
      <c r="P5" s="4" t="e">
        <f ca="1">com_share_state_target*'LEAP Statewide'!P5</f>
        <v>#N/A</v>
      </c>
      <c r="Q5" s="5" t="e">
        <f ca="1">com_share_state_target*'LEAP Statewide'!Q5</f>
        <v>#N/A</v>
      </c>
      <c r="R5" s="2"/>
      <c r="S5" s="1" t="s">
        <v>14</v>
      </c>
      <c r="T5" s="4" t="e">
        <f ca="1">com_share_state_target*'LEAP Statewide'!T5</f>
        <v>#N/A</v>
      </c>
      <c r="U5" s="4" t="e">
        <f ca="1">com_share_state_target*'LEAP Statewide'!U5</f>
        <v>#N/A</v>
      </c>
      <c r="V5" s="4" t="e">
        <f ca="1">com_share_state_target*'LEAP Statewide'!V5</f>
        <v>#N/A</v>
      </c>
      <c r="W5" s="5" t="e">
        <f ca="1">com_share_state_target*'LEAP Statewide'!W5</f>
        <v>#N/A</v>
      </c>
      <c r="Y5" s="92"/>
    </row>
    <row r="6" spans="1:25" x14ac:dyDescent="0.25">
      <c r="A6" s="1" t="s">
        <v>4</v>
      </c>
      <c r="B6" s="4">
        <f>res_share_state_target*'LEAP Statewide'!B6</f>
        <v>5.5811161593747114</v>
      </c>
      <c r="C6" s="4">
        <f>res_share_state_target*'LEAP Statewide'!C6</f>
        <v>4.5231306613367224</v>
      </c>
      <c r="D6" s="4">
        <f>res_share_state_target*'LEAP Statewide'!D6</f>
        <v>3.0817467488721229</v>
      </c>
      <c r="E6" s="5">
        <f>res_share_state_target*'LEAP Statewide'!E6</f>
        <v>1.2181392660896109</v>
      </c>
      <c r="G6" s="1" t="s">
        <v>4</v>
      </c>
      <c r="H6" s="4">
        <f>res_share_state_target*'LEAP Statewide'!H6</f>
        <v>5.6150881707796003</v>
      </c>
      <c r="I6" s="4">
        <f>res_share_state_target*'LEAP Statewide'!I6</f>
        <v>4.6104872620921524</v>
      </c>
      <c r="J6" s="4">
        <f>res_share_state_target*'LEAP Statewide'!J6</f>
        <v>2.6837889009862739</v>
      </c>
      <c r="K6" s="5">
        <f>res_share_state_target*'LEAP Statewide'!K6</f>
        <v>0.86871286306788975</v>
      </c>
      <c r="L6" s="21"/>
      <c r="M6" s="1" t="s">
        <v>15</v>
      </c>
      <c r="N6" s="89" t="e">
        <f ca="1">com_share_state_target*'LEAP Statewide'!N6</f>
        <v>#N/A</v>
      </c>
      <c r="O6" s="89" t="e">
        <f ca="1">com_share_state_target*'LEAP Statewide'!O6</f>
        <v>#N/A</v>
      </c>
      <c r="P6" s="89" t="e">
        <f ca="1">com_share_state_target*'LEAP Statewide'!P6</f>
        <v>#N/A</v>
      </c>
      <c r="Q6" s="90" t="e">
        <f ca="1">com_share_state_target*'LEAP Statewide'!Q6</f>
        <v>#N/A</v>
      </c>
      <c r="R6" s="4"/>
      <c r="S6" s="1" t="s">
        <v>15</v>
      </c>
      <c r="T6" s="89" t="e">
        <f ca="1">com_share_state_target*'LEAP Statewide'!T6</f>
        <v>#N/A</v>
      </c>
      <c r="U6" s="89" t="e">
        <f ca="1">com_share_state_target*'LEAP Statewide'!U6</f>
        <v>#N/A</v>
      </c>
      <c r="V6" s="89" t="e">
        <f ca="1">com_share_state_target*'LEAP Statewide'!V6</f>
        <v>#N/A</v>
      </c>
      <c r="W6" s="90" t="e">
        <f ca="1">com_share_state_target*'LEAP Statewide'!W6</f>
        <v>#N/A</v>
      </c>
      <c r="Y6" s="92"/>
    </row>
    <row r="7" spans="1:25" x14ac:dyDescent="0.25">
      <c r="A7" s="1" t="s">
        <v>5</v>
      </c>
      <c r="B7" s="4">
        <f>res_share_state_target*'LEAP Statewide'!B7</f>
        <v>0.56296476042388388</v>
      </c>
      <c r="C7" s="4">
        <f>res_share_state_target*'LEAP Statewide'!C7</f>
        <v>3.1691033496275534</v>
      </c>
      <c r="D7" s="4">
        <f>res_share_state_target*'LEAP Statewide'!D7</f>
        <v>5.9742208627741471</v>
      </c>
      <c r="E7" s="5">
        <f>res_share_state_target*'LEAP Statewide'!E7</f>
        <v>8.240639337928922</v>
      </c>
      <c r="G7" s="1" t="s">
        <v>5</v>
      </c>
      <c r="H7" s="4">
        <f>res_share_state_target*'LEAP Statewide'!H7</f>
        <v>0.98518833074179679</v>
      </c>
      <c r="I7" s="4">
        <f>res_share_state_target*'LEAP Statewide'!I7</f>
        <v>5.5180252810513446</v>
      </c>
      <c r="J7" s="4">
        <f>res_share_state_target*'LEAP Statewide'!J7</f>
        <v>10.657505292162492</v>
      </c>
      <c r="K7" s="5">
        <f>res_share_state_target*'LEAP Statewide'!K7</f>
        <v>14.680762071398696</v>
      </c>
      <c r="M7" s="1" t="s">
        <v>8</v>
      </c>
      <c r="N7" s="4" t="e">
        <f ca="1">com_share_state_target*'LEAP Statewide'!N7</f>
        <v>#N/A</v>
      </c>
      <c r="O7" s="4" t="e">
        <f ca="1">com_share_state_target*'LEAP Statewide'!O7</f>
        <v>#N/A</v>
      </c>
      <c r="P7" s="4" t="e">
        <f ca="1">com_share_state_target*'LEAP Statewide'!P7</f>
        <v>#N/A</v>
      </c>
      <c r="Q7" s="5" t="e">
        <f ca="1">com_share_state_target*'LEAP Statewide'!Q7</f>
        <v>#N/A</v>
      </c>
      <c r="R7" s="4"/>
      <c r="S7" s="1" t="s">
        <v>8</v>
      </c>
      <c r="T7" s="4" t="e">
        <f ca="1">com_share_state_target*'LEAP Statewide'!T7</f>
        <v>#N/A</v>
      </c>
      <c r="U7" s="4" t="e">
        <f ca="1">com_share_state_target*'LEAP Statewide'!U7</f>
        <v>#N/A</v>
      </c>
      <c r="V7" s="4" t="e">
        <f ca="1">com_share_state_target*'LEAP Statewide'!V7</f>
        <v>#N/A</v>
      </c>
      <c r="W7" s="5" t="e">
        <f ca="1">com_share_state_target*'LEAP Statewide'!W7</f>
        <v>#N/A</v>
      </c>
      <c r="Y7" s="92"/>
    </row>
    <row r="8" spans="1:25" x14ac:dyDescent="0.25">
      <c r="A8" s="1" t="s">
        <v>6</v>
      </c>
      <c r="B8" s="4">
        <f>res_share_state_target*'LEAP Statewide'!B8</f>
        <v>6.3090878323366295E-2</v>
      </c>
      <c r="C8" s="4">
        <f>res_share_state_target*'LEAP Statewide'!C8</f>
        <v>0.46590187069562805</v>
      </c>
      <c r="D8" s="4">
        <f>res_share_state_target*'LEAP Statewide'!D8</f>
        <v>1.5869782470569831</v>
      </c>
      <c r="E8" s="5">
        <f>res_share_state_target*'LEAP Statewide'!E8</f>
        <v>3.2952851062742861</v>
      </c>
      <c r="G8" s="1" t="s">
        <v>6</v>
      </c>
      <c r="H8" s="4">
        <f>res_share_state_target*'LEAP Statewide'!H8</f>
        <v>0.27177609123911639</v>
      </c>
      <c r="I8" s="4">
        <f>res_share_state_target*'LEAP Statewide'!I8</f>
        <v>1.6888942812716516</v>
      </c>
      <c r="J8" s="4">
        <f>res_share_state_target*'LEAP Statewide'!J8</f>
        <v>3.6738303762144837</v>
      </c>
      <c r="K8" s="5">
        <f>res_share_state_target*'LEAP Statewide'!K8</f>
        <v>6.095549474934467</v>
      </c>
      <c r="M8" s="1" t="s">
        <v>9</v>
      </c>
      <c r="N8" s="4" t="e">
        <f ca="1">com_share_state_target*'LEAP Statewide'!N8</f>
        <v>#N/A</v>
      </c>
      <c r="O8" s="4" t="e">
        <f ca="1">com_share_state_target*'LEAP Statewide'!O8</f>
        <v>#N/A</v>
      </c>
      <c r="P8" s="4" t="e">
        <f ca="1">com_share_state_target*'LEAP Statewide'!P8</f>
        <v>#N/A</v>
      </c>
      <c r="Q8" s="5" t="e">
        <f ca="1">com_share_state_target*'LEAP Statewide'!Q8</f>
        <v>#N/A</v>
      </c>
      <c r="R8" s="4"/>
      <c r="S8" s="1" t="s">
        <v>9</v>
      </c>
      <c r="T8" s="4" t="e">
        <f ca="1">com_share_state_target*'LEAP Statewide'!T8</f>
        <v>#N/A</v>
      </c>
      <c r="U8" s="4" t="e">
        <f ca="1">com_share_state_target*'LEAP Statewide'!U8</f>
        <v>#N/A</v>
      </c>
      <c r="V8" s="4" t="e">
        <f ca="1">com_share_state_target*'LEAP Statewide'!V8</f>
        <v>#N/A</v>
      </c>
      <c r="W8" s="5" t="e">
        <f ca="1">com_share_state_target*'LEAP Statewide'!W8</f>
        <v>#N/A</v>
      </c>
      <c r="Y8" s="23"/>
    </row>
    <row r="9" spans="1:25" x14ac:dyDescent="0.25">
      <c r="A9" s="1" t="s">
        <v>7</v>
      </c>
      <c r="B9" s="4">
        <f>res_share_state_target*'LEAP Statewide'!B9</f>
        <v>4.7221095852796466</v>
      </c>
      <c r="C9" s="4">
        <f>res_share_state_target*'LEAP Statewide'!C9</f>
        <v>3.7903058438883908</v>
      </c>
      <c r="D9" s="4">
        <f>res_share_state_target*'LEAP Statewide'!D9</f>
        <v>2.8924741139020242</v>
      </c>
      <c r="E9" s="5">
        <f>res_share_state_target*'LEAP Statewide'!E9</f>
        <v>1.4316776234917736</v>
      </c>
      <c r="G9" s="1" t="s">
        <v>7</v>
      </c>
      <c r="H9" s="4">
        <f>res_share_state_target*'LEAP Statewide'!H9</f>
        <v>4.6347529845242166</v>
      </c>
      <c r="I9" s="4">
        <f>res_share_state_target*'LEAP Statewide'!I9</f>
        <v>3.3389634066520011</v>
      </c>
      <c r="J9" s="4">
        <f>res_share_state_target*'LEAP Statewide'!J9</f>
        <v>2.0722926956982621</v>
      </c>
      <c r="K9" s="5">
        <f>res_share_state_target*'LEAP Statewide'!K9</f>
        <v>0</v>
      </c>
      <c r="L9" s="21"/>
      <c r="M9" s="1" t="s">
        <v>16</v>
      </c>
      <c r="N9" s="4" t="e">
        <f ca="1">com_share_state_target*'LEAP Statewide'!N9</f>
        <v>#N/A</v>
      </c>
      <c r="O9" s="4" t="e">
        <f ca="1">com_share_state_target*'LEAP Statewide'!O9</f>
        <v>#N/A</v>
      </c>
      <c r="P9" s="4" t="e">
        <f ca="1">com_share_state_target*'LEAP Statewide'!P9</f>
        <v>#N/A</v>
      </c>
      <c r="Q9" s="5" t="e">
        <f ca="1">com_share_state_target*'LEAP Statewide'!Q9</f>
        <v>#N/A</v>
      </c>
      <c r="R9" s="2"/>
      <c r="S9" s="1" t="s">
        <v>16</v>
      </c>
      <c r="T9" s="4" t="e">
        <f ca="1">com_share_state_target*'LEAP Statewide'!T9</f>
        <v>#N/A</v>
      </c>
      <c r="U9" s="4" t="e">
        <f ca="1">com_share_state_target*'LEAP Statewide'!U9</f>
        <v>#N/A</v>
      </c>
      <c r="V9" s="4" t="e">
        <f ca="1">com_share_state_target*'LEAP Statewide'!V9</f>
        <v>#N/A</v>
      </c>
      <c r="W9" s="5" t="e">
        <f ca="1">com_share_state_target*'LEAP Statewide'!W9</f>
        <v>#N/A</v>
      </c>
      <c r="Y9" s="23"/>
    </row>
    <row r="10" spans="1:25" x14ac:dyDescent="0.25">
      <c r="A10" s="1" t="s">
        <v>8</v>
      </c>
      <c r="B10" s="4">
        <f>res_share_state_target*'LEAP Statewide'!B10</f>
        <v>27.240700002235002</v>
      </c>
      <c r="C10" s="4">
        <f>res_share_state_target*'LEAP Statewide'!C10</f>
        <v>21.824590755398326</v>
      </c>
      <c r="D10" s="4">
        <f>res_share_state_target*'LEAP Statewide'!D10</f>
        <v>16.122145983863295</v>
      </c>
      <c r="E10" s="5">
        <f>res_share_state_target*'LEAP Statewide'!E10</f>
        <v>5.8189202392089374</v>
      </c>
      <c r="G10" s="1" t="s">
        <v>8</v>
      </c>
      <c r="H10" s="4">
        <f>res_share_state_target*'LEAP Statewide'!H10</f>
        <v>26.920392466131759</v>
      </c>
      <c r="I10" s="4">
        <f>res_share_state_target*'LEAP Statewide'!I10</f>
        <v>20.567626333417412</v>
      </c>
      <c r="J10" s="4">
        <f>res_share_state_target*'LEAP Statewide'!J10</f>
        <v>14.394426546700341</v>
      </c>
      <c r="K10" s="5">
        <f>res_share_state_target*'LEAP Statewide'!K10</f>
        <v>4.857997630899205</v>
      </c>
      <c r="L10" s="21"/>
      <c r="M10" s="1" t="s">
        <v>17</v>
      </c>
      <c r="N10" s="4" t="e">
        <f ca="1">com_share_state_target*'LEAP Statewide'!N10</f>
        <v>#N/A</v>
      </c>
      <c r="O10" s="4" t="e">
        <f ca="1">com_share_state_target*'LEAP Statewide'!O10</f>
        <v>#N/A</v>
      </c>
      <c r="P10" s="4" t="e">
        <f ca="1">com_share_state_target*'LEAP Statewide'!P10</f>
        <v>#N/A</v>
      </c>
      <c r="Q10" s="5" t="e">
        <f ca="1">com_share_state_target*'LEAP Statewide'!Q10</f>
        <v>#N/A</v>
      </c>
      <c r="R10" s="4"/>
      <c r="S10" s="1" t="s">
        <v>17</v>
      </c>
      <c r="T10" s="4" t="e">
        <f ca="1">com_share_state_target*'LEAP Statewide'!T10</f>
        <v>#N/A</v>
      </c>
      <c r="U10" s="4" t="e">
        <f ca="1">com_share_state_target*'LEAP Statewide'!U10</f>
        <v>#N/A</v>
      </c>
      <c r="V10" s="4" t="e">
        <f ca="1">com_share_state_target*'LEAP Statewide'!V10</f>
        <v>#N/A</v>
      </c>
      <c r="W10" s="5" t="e">
        <f ca="1">com_share_state_target*'LEAP Statewide'!W10</f>
        <v>#N/A</v>
      </c>
      <c r="Y10" s="23"/>
    </row>
    <row r="11" spans="1:25" x14ac:dyDescent="0.25">
      <c r="A11" s="1" t="s">
        <v>9</v>
      </c>
      <c r="B11" s="4">
        <f>res_share_state_target*'LEAP Statewide'!B11</f>
        <v>23.518338181156391</v>
      </c>
      <c r="C11" s="4">
        <f>res_share_state_target*'LEAP Statewide'!C11</f>
        <v>30.526278819536461</v>
      </c>
      <c r="D11" s="4">
        <f>res_share_state_target*'LEAP Statewide'!D11</f>
        <v>39.232820028161015</v>
      </c>
      <c r="E11" s="5">
        <f>res_share_state_target*'LEAP Statewide'!E11</f>
        <v>57.461230719127457</v>
      </c>
      <c r="G11" s="1" t="s">
        <v>9</v>
      </c>
      <c r="H11" s="4">
        <f>res_share_state_target*'LEAP Statewide'!H11</f>
        <v>21.416926618539652</v>
      </c>
      <c r="I11" s="4">
        <f>res_share_state_target*'LEAP Statewide'!I11</f>
        <v>17.0345371473089</v>
      </c>
      <c r="J11" s="4">
        <f>res_share_state_target*'LEAP Statewide'!J11</f>
        <v>9.4976037599098344</v>
      </c>
      <c r="K11" s="5">
        <f>res_share_state_target*'LEAP Statewide'!K11</f>
        <v>1.1793141101983085</v>
      </c>
      <c r="L11" s="21"/>
      <c r="M11" s="7" t="s">
        <v>12</v>
      </c>
      <c r="N11" s="8" t="e">
        <f ca="1">SUM(N4:N10)</f>
        <v>#N/A</v>
      </c>
      <c r="O11" s="8" t="e">
        <f ca="1">SUM(O4:O10)</f>
        <v>#N/A</v>
      </c>
      <c r="P11" s="8" t="e">
        <f ca="1">SUM(P4:P10)</f>
        <v>#N/A</v>
      </c>
      <c r="Q11" s="9" t="e">
        <f ca="1">SUM(Q4:Q10)</f>
        <v>#N/A</v>
      </c>
      <c r="R11" s="4"/>
      <c r="S11" s="7" t="s">
        <v>12</v>
      </c>
      <c r="T11" s="8" t="e">
        <f ca="1">SUM(T4:T10)</f>
        <v>#N/A</v>
      </c>
      <c r="U11" s="8" t="e">
        <f ca="1">SUM(U4:U10)</f>
        <v>#N/A</v>
      </c>
      <c r="V11" s="8" t="e">
        <f ca="1">SUM(V4:V10)</f>
        <v>#N/A</v>
      </c>
      <c r="W11" s="9" t="e">
        <f ca="1">SUM(W4:W10)</f>
        <v>#N/A</v>
      </c>
    </row>
    <row r="12" spans="1:25" x14ac:dyDescent="0.25">
      <c r="A12" s="1" t="s">
        <v>10</v>
      </c>
      <c r="B12" s="4">
        <f>res_share_state_target*'LEAP Statewide'!B12</f>
        <v>50.37078662447837</v>
      </c>
      <c r="C12" s="4">
        <f>res_share_state_target*'LEAP Statewide'!C12</f>
        <v>39.57254014220991</v>
      </c>
      <c r="D12" s="4">
        <f>res_share_state_target*'LEAP Statewide'!D12</f>
        <v>26.085651614468759</v>
      </c>
      <c r="E12" s="5">
        <f>res_share_state_target*'LEAP Statewide'!E12</f>
        <v>6.9836749159480078</v>
      </c>
      <c r="G12" s="1" t="s">
        <v>10</v>
      </c>
      <c r="H12" s="4">
        <f>res_share_state_target*'LEAP Statewide'!H12</f>
        <v>49.385598293736571</v>
      </c>
      <c r="I12" s="4">
        <f>res_share_state_target*'LEAP Statewide'!I12</f>
        <v>35.389129594922082</v>
      </c>
      <c r="J12" s="4">
        <f>res_share_state_target*'LEAP Statewide'!J12</f>
        <v>21.810031321939089</v>
      </c>
      <c r="K12" s="5">
        <f>res_share_state_target*'LEAP Statewide'!K12</f>
        <v>0</v>
      </c>
      <c r="L12" s="21"/>
    </row>
    <row r="13" spans="1:25" x14ac:dyDescent="0.25">
      <c r="A13" s="1" t="s">
        <v>11</v>
      </c>
      <c r="B13" s="4">
        <f>res_share_state_target*'LEAP Statewide'!B13</f>
        <v>3.1254250492498383</v>
      </c>
      <c r="C13" s="4">
        <f>res_share_state_target*'LEAP Statewide'!C13</f>
        <v>4.1397322469101114</v>
      </c>
      <c r="D13" s="4">
        <f>res_share_state_target*'LEAP Statewide'!D13</f>
        <v>5.1103611441926704</v>
      </c>
      <c r="E13" s="5">
        <f>res_share_state_target*'LEAP Statewide'!E13</f>
        <v>6.6099827904942225</v>
      </c>
      <c r="G13" s="1" t="s">
        <v>11</v>
      </c>
      <c r="H13" s="4">
        <f>res_share_state_target*'LEAP Statewide'!H13</f>
        <v>3.5961800644318789</v>
      </c>
      <c r="I13" s="4">
        <f>res_share_state_target*'LEAP Statewide'!I13</f>
        <v>6.5808639235757465</v>
      </c>
      <c r="J13" s="4">
        <f>res_share_state_target*'LEAP Statewide'!J13</f>
        <v>8.8666949766761718</v>
      </c>
      <c r="K13" s="5">
        <f>res_share_state_target*'LEAP Statewide'!K13</f>
        <v>11.036050562102689</v>
      </c>
      <c r="L13" s="21"/>
      <c r="N13" s="21"/>
      <c r="O13" s="21"/>
      <c r="P13" s="21"/>
      <c r="Q13" s="21"/>
      <c r="T13" s="21"/>
      <c r="U13" s="21"/>
      <c r="V13" s="21"/>
      <c r="W13" s="21"/>
    </row>
    <row r="14" spans="1:25" x14ac:dyDescent="0.25">
      <c r="A14" s="7" t="s">
        <v>12</v>
      </c>
      <c r="B14" s="8">
        <f>SUM(B4:B13)</f>
        <v>151.96651330304374</v>
      </c>
      <c r="C14" s="8">
        <f>SUM(C4:C13)</f>
        <v>141.8962384937372</v>
      </c>
      <c r="D14" s="8">
        <f>SUM(D4:D13)</f>
        <v>131.61727847151494</v>
      </c>
      <c r="E14" s="9">
        <f>SUM(E4:E13)</f>
        <v>119.6154521566161</v>
      </c>
      <c r="G14" s="7" t="s">
        <v>12</v>
      </c>
      <c r="H14" s="8">
        <f>SUM(H4:H13)</f>
        <v>150.13687783166614</v>
      </c>
      <c r="I14" s="8">
        <f>SUM(I4:I13)</f>
        <v>131.88420141826762</v>
      </c>
      <c r="J14" s="8">
        <f>SUM(J4:J13)</f>
        <v>110.74875717993991</v>
      </c>
      <c r="K14" s="9">
        <f>SUM(K4:K13)</f>
        <v>78.271514276865503</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6" t="s">
        <v>471</v>
      </c>
      <c r="B22" s="227"/>
      <c r="C22" s="227"/>
      <c r="D22" s="227"/>
      <c r="E22" s="228"/>
      <c r="G22" s="226" t="s">
        <v>472</v>
      </c>
      <c r="H22" s="227"/>
      <c r="I22" s="227"/>
      <c r="J22" s="227"/>
      <c r="K22" s="228"/>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135.8880456195582</v>
      </c>
      <c r="C24" s="4">
        <f>res_share_state_target*'LEAP Statewide'!C24*1000</f>
        <v>111.62232318749422</v>
      </c>
      <c r="D24" s="4">
        <f>res_share_state_target*'LEAP Statewide'!D24*1000</f>
        <v>97.06288972825584</v>
      </c>
      <c r="E24" s="5">
        <f>res_share_state_target*'LEAP Statewide'!E24*1000</f>
        <v>82.503456269017462</v>
      </c>
      <c r="G24" s="1" t="s">
        <v>21</v>
      </c>
      <c r="H24" s="4">
        <f>res_share_state_target*'LEAP Statewide'!H24*1000</f>
        <v>135.8880456195582</v>
      </c>
      <c r="I24" s="4">
        <f>res_share_state_target*'LEAP Statewide'!I24*1000</f>
        <v>111.62232318749422</v>
      </c>
      <c r="J24" s="4">
        <f>res_share_state_target*'LEAP Statewide'!J24*1000</f>
        <v>53.384589350540715</v>
      </c>
      <c r="K24" s="5">
        <f>res_share_state_target*'LEAP Statewide'!K24*1000</f>
        <v>4.8531444864127922</v>
      </c>
    </row>
    <row r="25" spans="1:16" x14ac:dyDescent="0.25">
      <c r="A25" s="1" t="s">
        <v>22</v>
      </c>
      <c r="B25" s="4">
        <f>res_share_state_target*'LEAP Statewide'!B25*1000</f>
        <v>19.412577945651169</v>
      </c>
      <c r="C25" s="4">
        <f>res_share_state_target*'LEAP Statewide'!C25*1000</f>
        <v>14.559433459238377</v>
      </c>
      <c r="D25" s="4">
        <f>res_share_state_target*'LEAP Statewide'!D25*1000</f>
        <v>14.559433459238377</v>
      </c>
      <c r="E25" s="5">
        <f>res_share_state_target*'LEAP Statewide'!E25*1000</f>
        <v>9.7062889728255843</v>
      </c>
      <c r="G25" s="1" t="s">
        <v>22</v>
      </c>
      <c r="H25" s="4">
        <f>res_share_state_target*'LEAP Statewide'!H25*1000</f>
        <v>19.412577945651169</v>
      </c>
      <c r="I25" s="4">
        <f>res_share_state_target*'LEAP Statewide'!I25*1000</f>
        <v>14.559433459238377</v>
      </c>
      <c r="J25" s="4">
        <f>res_share_state_target*'LEAP Statewide'!J25*1000</f>
        <v>4.8531444864127922</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9.7062889728255843</v>
      </c>
      <c r="K26" s="5">
        <f>res_share_state_target*'LEAP Statewide'!K26*1000</f>
        <v>24.26572243206396</v>
      </c>
    </row>
    <row r="27" spans="1:16" x14ac:dyDescent="0.25">
      <c r="A27" s="1" t="s">
        <v>20</v>
      </c>
      <c r="B27" s="4">
        <f>res_share_state_target*'LEAP Statewide'!B27*1000</f>
        <v>4.8531444864127922</v>
      </c>
      <c r="C27" s="4">
        <f>res_share_state_target*'LEAP Statewide'!C27*1000</f>
        <v>4.8531444864127922</v>
      </c>
      <c r="D27" s="4">
        <f>res_share_state_target*'LEAP Statewide'!D27*1000</f>
        <v>4.8531444864127922</v>
      </c>
      <c r="E27" s="5">
        <f>res_share_state_target*'LEAP Statewide'!E27*1000</f>
        <v>4.8531444864127922</v>
      </c>
      <c r="G27" s="1" t="s">
        <v>20</v>
      </c>
      <c r="H27" s="4">
        <f>res_share_state_target*'LEAP Statewide'!H27*1000</f>
        <v>4.8531444864127922</v>
      </c>
      <c r="I27" s="4">
        <f>res_share_state_target*'LEAP Statewide'!I27*1000</f>
        <v>4.8531444864127922</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4.8531444864127922</v>
      </c>
      <c r="K28" s="5">
        <f>res_share_state_target*'LEAP Statewide'!K28*1000</f>
        <v>4.8531444864127922</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160.15376805162217</v>
      </c>
      <c r="C30" s="8">
        <f>SUM(C24:C29)</f>
        <v>131.03490113314538</v>
      </c>
      <c r="D30" s="8">
        <f>SUM(D24:D29)</f>
        <v>116.475467673907</v>
      </c>
      <c r="E30" s="9">
        <f>SUM(E24:E29)</f>
        <v>97.06288972825584</v>
      </c>
      <c r="G30" s="7" t="s">
        <v>12</v>
      </c>
      <c r="H30" s="8">
        <f>SUM(H24:H29)</f>
        <v>160.15376805162217</v>
      </c>
      <c r="I30" s="8">
        <f>SUM(I24:I29)</f>
        <v>131.03490113314538</v>
      </c>
      <c r="J30" s="8">
        <f>SUM(J24:J29)</f>
        <v>72.797167296191887</v>
      </c>
      <c r="K30" s="9">
        <f>SUM(K24:K29)</f>
        <v>33.972011404889543</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9" t="s">
        <v>184</v>
      </c>
      <c r="B48" s="17">
        <v>2015</v>
      </c>
      <c r="C48" s="17">
        <v>2025</v>
      </c>
      <c r="D48" s="17">
        <v>2035</v>
      </c>
      <c r="E48" s="17">
        <v>2050</v>
      </c>
    </row>
    <row r="49" spans="1:5" ht="89.25" customHeight="1" x14ac:dyDescent="0.25">
      <c r="A49" s="229"/>
      <c r="B49" s="20">
        <f>res_share_state_target*'LEAP Statewide'!B49</f>
        <v>0.49987388210051759</v>
      </c>
      <c r="C49" s="20">
        <f>res_share_state_target*'LEAP Statewide'!C49</f>
        <v>2.3926002318015067</v>
      </c>
      <c r="D49" s="20">
        <f>res_share_state_target*'LEAP Statewide'!D49</f>
        <v>4.1494385358829371</v>
      </c>
      <c r="E49" s="20">
        <f>res_share_state_target*'LEAP Statewide'!E49</f>
        <v>6.8429337258420366</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537</v>
      </c>
    </row>
    <row r="2" spans="1:25" ht="32.25" customHeight="1" x14ac:dyDescent="0.25">
      <c r="A2" s="226" t="s">
        <v>25</v>
      </c>
      <c r="B2" s="227"/>
      <c r="C2" s="227"/>
      <c r="D2" s="227"/>
      <c r="E2" s="228"/>
      <c r="G2" s="226" t="s">
        <v>30</v>
      </c>
      <c r="H2" s="227"/>
      <c r="I2" s="227"/>
      <c r="J2" s="227"/>
      <c r="K2" s="228"/>
      <c r="M2" s="226" t="s">
        <v>31</v>
      </c>
      <c r="N2" s="227"/>
      <c r="O2" s="227"/>
      <c r="P2" s="227"/>
      <c r="Q2" s="228"/>
      <c r="R2" s="10"/>
      <c r="S2" s="226" t="s">
        <v>32</v>
      </c>
      <c r="T2" s="227"/>
      <c r="U2" s="227"/>
      <c r="V2" s="227"/>
      <c r="W2" s="228"/>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1.2798264642082429E-2</v>
      </c>
      <c r="I4" s="4">
        <f>res_share_region_target*'LEAP Scenario'!I4</f>
        <v>4.5708088007437246E-2</v>
      </c>
      <c r="J4" s="4">
        <f>res_share_region_target*'LEAP Scenario'!J4</f>
        <v>7.4961264332197075E-2</v>
      </c>
      <c r="K4" s="5">
        <f>res_share_region_target*'LEAP Scenario'!K4</f>
        <v>0.1160985435388906</v>
      </c>
      <c r="L4" s="21"/>
      <c r="M4" s="1" t="s">
        <v>13</v>
      </c>
      <c r="N4" s="4" t="e">
        <f>com_share_region_target*'LEAP Scenario'!N4</f>
        <v>#N/A</v>
      </c>
      <c r="O4" s="4" t="e">
        <f>com_share_region_target*'LEAP Scenario'!O4</f>
        <v>#N/A</v>
      </c>
      <c r="P4" s="4" t="e">
        <f>com_share_region_target*'LEAP Scenario'!P4</f>
        <v>#N/A</v>
      </c>
      <c r="Q4" s="5" t="e">
        <f>com_share_region_target*'LEAP Scenario'!Q4</f>
        <v>#N/A</v>
      </c>
      <c r="R4" s="2"/>
      <c r="S4" s="1" t="s">
        <v>13</v>
      </c>
      <c r="T4" s="4" t="e">
        <f>com_share_region_target*'LEAP Scenario'!T4</f>
        <v>#N/A</v>
      </c>
      <c r="U4" s="4" t="e">
        <f>com_share_region_target*'LEAP Scenario'!U4</f>
        <v>#N/A</v>
      </c>
      <c r="V4" s="4" t="e">
        <f>com_share_region_target*'LEAP Scenario'!V4</f>
        <v>#N/A</v>
      </c>
      <c r="W4" s="5" t="e">
        <f>com_share_region_target*'LEAP Scenario'!W4</f>
        <v>#N/A</v>
      </c>
      <c r="Y4" s="23"/>
    </row>
    <row r="5" spans="1:25" x14ac:dyDescent="0.25">
      <c r="A5" s="1" t="s">
        <v>3</v>
      </c>
      <c r="B5" s="4">
        <f>res_share_region_target*'LEAP Scenario'!B5</f>
        <v>1.7277657266811277</v>
      </c>
      <c r="C5" s="4">
        <f>res_share_region_target*'LEAP Scenario'!C5</f>
        <v>1.433405639913232</v>
      </c>
      <c r="D5" s="4">
        <f>res_share_region_target*'LEAP Scenario'!D5</f>
        <v>1.1893244499535172</v>
      </c>
      <c r="E5" s="5">
        <f>res_share_region_target*'LEAP Scenario'!E5</f>
        <v>0.90593430430740618</v>
      </c>
      <c r="G5" s="1" t="s">
        <v>3</v>
      </c>
      <c r="H5" s="4">
        <f>res_share_region_target*'LEAP Scenario'!H5</f>
        <v>1.6994267121165167</v>
      </c>
      <c r="I5" s="4">
        <f>res_share_region_target*'LEAP Scenario'!I5</f>
        <v>1.343817787418655</v>
      </c>
      <c r="J5" s="4">
        <f>res_share_region_target*'LEAP Scenario'!J5</f>
        <v>1.0311744654477841</v>
      </c>
      <c r="K5" s="5">
        <f>res_share_region_target*'LEAP Scenario'!K5</f>
        <v>0.68562132011155863</v>
      </c>
      <c r="L5" s="21"/>
      <c r="M5" s="1" t="s">
        <v>14</v>
      </c>
      <c r="N5" s="4" t="e">
        <f>com_share_region_target*'LEAP Scenario'!N5</f>
        <v>#N/A</v>
      </c>
      <c r="O5" s="4" t="e">
        <f>com_share_region_target*'LEAP Scenario'!O5</f>
        <v>#N/A</v>
      </c>
      <c r="P5" s="4" t="e">
        <f>com_share_region_target*'LEAP Scenario'!P5</f>
        <v>#N/A</v>
      </c>
      <c r="Q5" s="5" t="e">
        <f>com_share_region_target*'LEAP Scenario'!Q5</f>
        <v>#N/A</v>
      </c>
      <c r="R5" s="2"/>
      <c r="S5" s="1" t="s">
        <v>14</v>
      </c>
      <c r="T5" s="4" t="e">
        <f>com_share_region_target*'LEAP Scenario'!T5</f>
        <v>#N/A</v>
      </c>
      <c r="U5" s="4" t="e">
        <f>com_share_region_target*'LEAP Scenario'!U5</f>
        <v>#N/A</v>
      </c>
      <c r="V5" s="4" t="e">
        <f>com_share_region_target*'LEAP Scenario'!V5</f>
        <v>#N/A</v>
      </c>
      <c r="W5" s="5" t="e">
        <f>com_share_region_target*'LEAP Scenario'!W5</f>
        <v>#N/A</v>
      </c>
      <c r="Y5" s="92"/>
    </row>
    <row r="6" spans="1:25" x14ac:dyDescent="0.25">
      <c r="A6" s="1" t="s">
        <v>4</v>
      </c>
      <c r="B6" s="4">
        <f>res_share_region_target*'LEAP Scenario'!B6</f>
        <v>0.17460489618841027</v>
      </c>
      <c r="C6" s="4">
        <f>res_share_region_target*'LEAP Scenario'!C6</f>
        <v>0.12981096994112176</v>
      </c>
      <c r="D6" s="4">
        <f>res_share_region_target*'LEAP Scenario'!D6</f>
        <v>7.4961264332197075E-2</v>
      </c>
      <c r="E6" s="5">
        <f>res_share_region_target*'LEAP Scenario'!E6</f>
        <v>2.1939882243569877E-2</v>
      </c>
      <c r="G6" s="1" t="s">
        <v>4</v>
      </c>
      <c r="H6" s="4">
        <f>res_share_region_target*'LEAP Scenario'!H6</f>
        <v>0.18923148435079018</v>
      </c>
      <c r="I6" s="4">
        <f>res_share_region_target*'LEAP Scenario'!I6</f>
        <v>0.17094824914781528</v>
      </c>
      <c r="J6" s="4">
        <f>res_share_region_target*'LEAP Scenario'!J6</f>
        <v>9.3244499535171971E-2</v>
      </c>
      <c r="K6" s="5">
        <f>res_share_region_target*'LEAP Scenario'!K6</f>
        <v>2.833901456461109E-2</v>
      </c>
      <c r="L6" s="21"/>
      <c r="M6" s="1" t="s">
        <v>15</v>
      </c>
      <c r="N6" s="89" t="e">
        <f>com_share_region_target*'LEAP Scenario'!N6</f>
        <v>#N/A</v>
      </c>
      <c r="O6" s="89" t="e">
        <f>com_share_region_target*'LEAP Scenario'!O6</f>
        <v>#N/A</v>
      </c>
      <c r="P6" s="89" t="e">
        <f>com_share_region_target*'LEAP Scenario'!P6</f>
        <v>#N/A</v>
      </c>
      <c r="Q6" s="90" t="e">
        <f>com_share_region_target*'LEAP Scenario'!Q6</f>
        <v>#N/A</v>
      </c>
      <c r="R6" s="4"/>
      <c r="S6" s="1" t="s">
        <v>15</v>
      </c>
      <c r="T6" s="89" t="e">
        <f>com_share_region_target*'LEAP Scenario'!T6</f>
        <v>#N/A</v>
      </c>
      <c r="U6" s="89" t="e">
        <f>com_share_region_target*'LEAP Scenario'!U6</f>
        <v>#N/A</v>
      </c>
      <c r="V6" s="89" t="e">
        <f>com_share_region_target*'LEAP Scenario'!V6</f>
        <v>#N/A</v>
      </c>
      <c r="W6" s="90" t="e">
        <f>com_share_region_target*'LEAP Scenario'!W6</f>
        <v>#N/A</v>
      </c>
      <c r="Y6" s="92"/>
    </row>
    <row r="7" spans="1:25" x14ac:dyDescent="0.25">
      <c r="A7" s="1" t="s">
        <v>5</v>
      </c>
      <c r="B7" s="4">
        <f>res_share_region_target*'LEAP Scenario'!B7</f>
        <v>2.3768205763867366E-2</v>
      </c>
      <c r="C7" s="4">
        <f>res_share_region_target*'LEAP Scenario'!C7</f>
        <v>0.11244189649829561</v>
      </c>
      <c r="D7" s="4">
        <f>res_share_region_target*'LEAP Scenario'!D7</f>
        <v>0.17460489618841027</v>
      </c>
      <c r="E7" s="5">
        <f>res_share_region_target*'LEAP Scenario'!E7</f>
        <v>0.21939882243569878</v>
      </c>
      <c r="G7" s="1" t="s">
        <v>5</v>
      </c>
      <c r="H7" s="4">
        <f>res_share_region_target*'LEAP Scenario'!H7</f>
        <v>2.1025720483421131E-2</v>
      </c>
      <c r="I7" s="4">
        <f>res_share_region_target*'LEAP Scenario'!I7</f>
        <v>0.10055779361636194</v>
      </c>
      <c r="J7" s="4">
        <f>res_share_region_target*'LEAP Scenario'!J7</f>
        <v>0.20568639603346758</v>
      </c>
      <c r="K7" s="5">
        <f>res_share_region_target*'LEAP Scenario'!K7</f>
        <v>0.24682367524016111</v>
      </c>
      <c r="M7" s="1" t="s">
        <v>8</v>
      </c>
      <c r="N7" s="4" t="e">
        <f>com_share_region_target*'LEAP Scenario'!N7</f>
        <v>#N/A</v>
      </c>
      <c r="O7" s="4" t="e">
        <f>com_share_region_target*'LEAP Scenario'!O7</f>
        <v>#N/A</v>
      </c>
      <c r="P7" s="4" t="e">
        <f>com_share_region_target*'LEAP Scenario'!P7</f>
        <v>#N/A</v>
      </c>
      <c r="Q7" s="5" t="e">
        <f>com_share_region_target*'LEAP Scenario'!Q7</f>
        <v>#N/A</v>
      </c>
      <c r="R7" s="4"/>
      <c r="S7" s="1" t="s">
        <v>8</v>
      </c>
      <c r="T7" s="4" t="e">
        <f>com_share_region_target*'LEAP Scenario'!T7</f>
        <v>#N/A</v>
      </c>
      <c r="U7" s="4" t="e">
        <f>com_share_region_target*'LEAP Scenario'!U7</f>
        <v>#N/A</v>
      </c>
      <c r="V7" s="4" t="e">
        <f>com_share_region_target*'LEAP Scenario'!V7</f>
        <v>#N/A</v>
      </c>
      <c r="W7" s="5" t="e">
        <f>com_share_region_target*'LEAP Scenario'!W7</f>
        <v>#N/A</v>
      </c>
      <c r="Y7" s="92"/>
    </row>
    <row r="8" spans="1:25" x14ac:dyDescent="0.25">
      <c r="A8" s="1" t="s">
        <v>6</v>
      </c>
      <c r="B8" s="4">
        <f>res_share_region_target*'LEAP Scenario'!B8</f>
        <v>2.7424852804462346E-3</v>
      </c>
      <c r="C8" s="4">
        <f>res_share_region_target*'LEAP Scenario'!C8</f>
        <v>1.1884102881933683E-2</v>
      </c>
      <c r="D8" s="4">
        <f>res_share_region_target*'LEAP Scenario'!D8</f>
        <v>4.2965602726991008E-2</v>
      </c>
      <c r="E8" s="5">
        <f>res_share_region_target*'LEAP Scenario'!E8</f>
        <v>0.10330027889680816</v>
      </c>
      <c r="G8" s="1" t="s">
        <v>6</v>
      </c>
      <c r="H8" s="4">
        <f>res_share_region_target*'LEAP Scenario'!H8</f>
        <v>1.4626588162379918E-2</v>
      </c>
      <c r="I8" s="4">
        <f>res_share_region_target*'LEAP Scenario'!I8</f>
        <v>4.2051440966842261E-2</v>
      </c>
      <c r="J8" s="4">
        <f>res_share_region_target*'LEAP Scenario'!J8</f>
        <v>8.2274558413387044E-2</v>
      </c>
      <c r="K8" s="5">
        <f>res_share_region_target*'LEAP Scenario'!K8</f>
        <v>0.11518438177874185</v>
      </c>
      <c r="M8" s="1" t="s">
        <v>9</v>
      </c>
      <c r="N8" s="4" t="e">
        <f>com_share_region_target*'LEAP Scenario'!N8</f>
        <v>#N/A</v>
      </c>
      <c r="O8" s="4" t="e">
        <f>com_share_region_target*'LEAP Scenario'!O8</f>
        <v>#N/A</v>
      </c>
      <c r="P8" s="4" t="e">
        <f>com_share_region_target*'LEAP Scenario'!P8</f>
        <v>#N/A</v>
      </c>
      <c r="Q8" s="5" t="e">
        <f>com_share_region_target*'LEAP Scenario'!Q8</f>
        <v>#N/A</v>
      </c>
      <c r="R8" s="4"/>
      <c r="S8" s="1" t="s">
        <v>9</v>
      </c>
      <c r="T8" s="4" t="e">
        <f>com_share_region_target*'LEAP Scenario'!T8</f>
        <v>#N/A</v>
      </c>
      <c r="U8" s="4" t="e">
        <f>com_share_region_target*'LEAP Scenario'!U8</f>
        <v>#N/A</v>
      </c>
      <c r="V8" s="4" t="e">
        <f>com_share_region_target*'LEAP Scenario'!V8</f>
        <v>#N/A</v>
      </c>
      <c r="W8" s="5" t="e">
        <f>com_share_region_target*'LEAP Scenario'!W8</f>
        <v>#N/A</v>
      </c>
      <c r="Y8" s="23"/>
    </row>
    <row r="9" spans="1:25" x14ac:dyDescent="0.25">
      <c r="A9" s="1" t="s">
        <v>7</v>
      </c>
      <c r="B9" s="4">
        <f>res_share_region_target*'LEAP Scenario'!B9</f>
        <v>0.11792686705918809</v>
      </c>
      <c r="C9" s="4">
        <f>res_share_region_target*'LEAP Scenario'!C9</f>
        <v>0.14992252866439415</v>
      </c>
      <c r="D9" s="4">
        <f>res_share_region_target*'LEAP Scenario'!D9</f>
        <v>0.18374651378989773</v>
      </c>
      <c r="E9" s="5">
        <f>res_share_region_target*'LEAP Scenario'!E9</f>
        <v>4.6622249767585985E-2</v>
      </c>
      <c r="G9" s="1" t="s">
        <v>7</v>
      </c>
      <c r="H9" s="4">
        <f>res_share_region_target*'LEAP Scenario'!H9</f>
        <v>0.10969941121784939</v>
      </c>
      <c r="I9" s="4">
        <f>res_share_region_target*'LEAP Scenario'!I9</f>
        <v>0.12706848466067552</v>
      </c>
      <c r="J9" s="4">
        <f>res_share_region_target*'LEAP Scenario'!J9</f>
        <v>0.14718004338394791</v>
      </c>
      <c r="K9" s="5">
        <f>res_share_region_target*'LEAP Scenario'!K9</f>
        <v>0</v>
      </c>
      <c r="L9" s="21"/>
      <c r="M9" s="1" t="s">
        <v>16</v>
      </c>
      <c r="N9" s="4" t="e">
        <f>com_share_region_target*'LEAP Scenario'!N9</f>
        <v>#N/A</v>
      </c>
      <c r="O9" s="4" t="e">
        <f>com_share_region_target*'LEAP Scenario'!O9</f>
        <v>#N/A</v>
      </c>
      <c r="P9" s="4" t="e">
        <f>com_share_region_target*'LEAP Scenario'!P9</f>
        <v>#N/A</v>
      </c>
      <c r="Q9" s="5" t="e">
        <f>com_share_region_target*'LEAP Scenario'!Q9</f>
        <v>#N/A</v>
      </c>
      <c r="R9" s="2"/>
      <c r="S9" s="1" t="s">
        <v>16</v>
      </c>
      <c r="T9" s="4" t="e">
        <f>com_share_region_target*'LEAP Scenario'!T9</f>
        <v>#N/A</v>
      </c>
      <c r="U9" s="4" t="e">
        <f>com_share_region_target*'LEAP Scenario'!U9</f>
        <v>#N/A</v>
      </c>
      <c r="V9" s="4" t="e">
        <f>com_share_region_target*'LEAP Scenario'!V9</f>
        <v>#N/A</v>
      </c>
      <c r="W9" s="5" t="e">
        <f>com_share_region_target*'LEAP Scenario'!W9</f>
        <v>#N/A</v>
      </c>
      <c r="Y9" s="23"/>
    </row>
    <row r="10" spans="1:25" x14ac:dyDescent="0.25">
      <c r="A10" s="1" t="s">
        <v>8</v>
      </c>
      <c r="B10" s="4">
        <f>res_share_region_target*'LEAP Scenario'!B10</f>
        <v>0.66093895258754254</v>
      </c>
      <c r="C10" s="4">
        <f>res_share_region_target*'LEAP Scenario'!C10</f>
        <v>0.53935543848775946</v>
      </c>
      <c r="D10" s="4">
        <f>res_share_region_target*'LEAP Scenario'!D10</f>
        <v>0.43148435079020758</v>
      </c>
      <c r="E10" s="5">
        <f>res_share_region_target*'LEAP Scenario'!E10</f>
        <v>0.2888751162070034</v>
      </c>
      <c r="G10" s="1" t="s">
        <v>8</v>
      </c>
      <c r="H10" s="4">
        <f>res_share_region_target*'LEAP Scenario'!H10</f>
        <v>0.6463123644251626</v>
      </c>
      <c r="I10" s="4">
        <f>res_share_region_target*'LEAP Scenario'!I10</f>
        <v>0.50553145336225591</v>
      </c>
      <c r="J10" s="4">
        <f>res_share_region_target*'LEAP Scenario'!J10</f>
        <v>0.3236132630926557</v>
      </c>
      <c r="K10" s="5">
        <f>res_share_region_target*'LEAP Scenario'!K10</f>
        <v>0.11335605825844436</v>
      </c>
      <c r="L10" s="21"/>
      <c r="M10" s="1" t="s">
        <v>17</v>
      </c>
      <c r="N10" s="4" t="e">
        <f>com_share_region_target*'LEAP Scenario'!N10</f>
        <v>#N/A</v>
      </c>
      <c r="O10" s="4" t="e">
        <f>com_share_region_target*'LEAP Scenario'!O10</f>
        <v>#N/A</v>
      </c>
      <c r="P10" s="4" t="e">
        <f>com_share_region_target*'LEAP Scenario'!P10</f>
        <v>#N/A</v>
      </c>
      <c r="Q10" s="5" t="e">
        <f>com_share_region_target*'LEAP Scenario'!Q10</f>
        <v>#N/A</v>
      </c>
      <c r="R10" s="4"/>
      <c r="S10" s="1" t="s">
        <v>17</v>
      </c>
      <c r="T10" s="4" t="e">
        <f>com_share_region_target*'LEAP Scenario'!T10</f>
        <v>#N/A</v>
      </c>
      <c r="U10" s="4" t="e">
        <f>com_share_region_target*'LEAP Scenario'!U10</f>
        <v>#N/A</v>
      </c>
      <c r="V10" s="4" t="e">
        <f>com_share_region_target*'LEAP Scenario'!V10</f>
        <v>#N/A</v>
      </c>
      <c r="W10" s="5" t="e">
        <f>com_share_region_target*'LEAP Scenario'!W10</f>
        <v>#N/A</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t="e">
        <f>SUM(N4:N10)</f>
        <v>#N/A</v>
      </c>
      <c r="O11" s="8" t="e">
        <f>SUM(O4:O10)</f>
        <v>#N/A</v>
      </c>
      <c r="P11" s="8" t="e">
        <f>SUM(P4:P10)</f>
        <v>#N/A</v>
      </c>
      <c r="Q11" s="9" t="e">
        <f>SUM(Q4:Q10)</f>
        <v>#N/A</v>
      </c>
      <c r="R11" s="4"/>
      <c r="S11" s="7" t="s">
        <v>12</v>
      </c>
      <c r="T11" s="8" t="e">
        <f>SUM(T4:T10)</f>
        <v>#N/A</v>
      </c>
      <c r="U11" s="8" t="e">
        <f>SUM(U4:U10)</f>
        <v>#N/A</v>
      </c>
      <c r="V11" s="8" t="e">
        <f>SUM(V4:V10)</f>
        <v>#N/A</v>
      </c>
      <c r="W11" s="9" t="e">
        <f>SUM(W4:W10)</f>
        <v>#N/A</v>
      </c>
    </row>
    <row r="12" spans="1:25" x14ac:dyDescent="0.25">
      <c r="A12" s="1" t="s">
        <v>10</v>
      </c>
      <c r="B12" s="4">
        <f>res_share_region_target*'LEAP Scenario'!B12</f>
        <v>1.6098388596219397</v>
      </c>
      <c r="C12" s="4">
        <f>res_share_region_target*'LEAP Scenario'!C12</f>
        <v>1.2268050821196157</v>
      </c>
      <c r="D12" s="4">
        <f>res_share_region_target*'LEAP Scenario'!D12</f>
        <v>0.85931205453982018</v>
      </c>
      <c r="E12" s="5">
        <f>res_share_region_target*'LEAP Scenario'!E12</f>
        <v>0.37572048342113412</v>
      </c>
      <c r="G12" s="1" t="s">
        <v>10</v>
      </c>
      <c r="H12" s="4">
        <f>res_share_region_target*'LEAP Scenario'!H12</f>
        <v>1.5485900216919739</v>
      </c>
      <c r="I12" s="4">
        <f>res_share_region_target*'LEAP Scenario'!I12</f>
        <v>1.0403160830492717</v>
      </c>
      <c r="J12" s="4">
        <f>res_share_region_target*'LEAP Scenario'!J12</f>
        <v>0.54941121784939562</v>
      </c>
      <c r="K12" s="5">
        <f>res_share_region_target*'LEAP Scenario'!K12</f>
        <v>0</v>
      </c>
      <c r="L12" s="21"/>
    </row>
    <row r="13" spans="1:25" x14ac:dyDescent="0.25">
      <c r="A13" s="1" t="s">
        <v>11</v>
      </c>
      <c r="B13" s="4">
        <f>res_share_region_target*'LEAP Scenario'!B13</f>
        <v>0.33275488069414311</v>
      </c>
      <c r="C13" s="4">
        <f>res_share_region_target*'LEAP Scenario'!C13</f>
        <v>0.29527424852804457</v>
      </c>
      <c r="D13" s="4">
        <f>res_share_region_target*'LEAP Scenario'!D13</f>
        <v>0.265106910443136</v>
      </c>
      <c r="E13" s="5">
        <f>res_share_region_target*'LEAP Scenario'!E13</f>
        <v>0.23676789587852493</v>
      </c>
      <c r="G13" s="1" t="s">
        <v>11</v>
      </c>
      <c r="H13" s="4">
        <f>res_share_region_target*'LEAP Scenario'!H13</f>
        <v>0.2888751162070034</v>
      </c>
      <c r="I13" s="4">
        <f>res_share_region_target*'LEAP Scenario'!I13</f>
        <v>0.32269910133250695</v>
      </c>
      <c r="J13" s="4">
        <f>res_share_region_target*'LEAP Scenario'!J13</f>
        <v>0.28978927796715215</v>
      </c>
      <c r="K13" s="5">
        <f>res_share_region_target*'LEAP Scenario'!K13</f>
        <v>0.27059188100402848</v>
      </c>
      <c r="L13" s="21"/>
      <c r="N13" s="21"/>
      <c r="O13" s="21"/>
      <c r="P13" s="21"/>
      <c r="Q13" s="21"/>
      <c r="T13" s="21"/>
      <c r="U13" s="21"/>
      <c r="V13" s="21"/>
      <c r="W13" s="21"/>
    </row>
    <row r="14" spans="1:25" x14ac:dyDescent="0.25">
      <c r="A14" s="7" t="s">
        <v>12</v>
      </c>
      <c r="B14" s="8">
        <f>SUM(B4:B13)</f>
        <v>4.6503408738766652</v>
      </c>
      <c r="C14" s="8">
        <f>SUM(C4:C13)</f>
        <v>3.898899907034397</v>
      </c>
      <c r="D14" s="8">
        <f>SUM(D4:D13)</f>
        <v>3.2215060427641768</v>
      </c>
      <c r="E14" s="9">
        <f>SUM(E4:E13)</f>
        <v>2.1985590331577316</v>
      </c>
      <c r="G14" s="7" t="s">
        <v>12</v>
      </c>
      <c r="H14" s="8">
        <f>SUM(H4:H13)</f>
        <v>4.53058568329718</v>
      </c>
      <c r="I14" s="8">
        <f>SUM(I4:I13)</f>
        <v>3.6986984815618218</v>
      </c>
      <c r="J14" s="8">
        <f>SUM(J4:J13)</f>
        <v>2.7973349860551591</v>
      </c>
      <c r="K14" s="9">
        <f>SUM(K4:K13)</f>
        <v>1.576014874496436</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6" t="s">
        <v>471</v>
      </c>
      <c r="B22" s="227"/>
      <c r="C22" s="227"/>
      <c r="D22" s="227"/>
      <c r="E22" s="228"/>
      <c r="G22" s="226" t="s">
        <v>472</v>
      </c>
      <c r="H22" s="227"/>
      <c r="I22" s="227"/>
      <c r="J22" s="227"/>
      <c r="K22" s="228"/>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2.6620390455531449</v>
      </c>
      <c r="C24" s="4">
        <f>res_share_region_target*'LEAP Scenario'!C24</f>
        <v>2.1665633715525252</v>
      </c>
      <c r="D24" s="4">
        <f>res_share_region_target*'LEAP Scenario'!D24</f>
        <v>1.8466067555004646</v>
      </c>
      <c r="E24" s="5">
        <f>res_share_region_target*'LEAP Scenario'!E24</f>
        <v>1.5504183452122713</v>
      </c>
      <c r="G24" s="1" t="s">
        <v>21</v>
      </c>
      <c r="H24" s="4">
        <f>res_share_region_target*'LEAP Scenario'!H24</f>
        <v>2.6720948249147813</v>
      </c>
      <c r="I24" s="4">
        <f>res_share_region_target*'LEAP Scenario'!I24</f>
        <v>1.9142547257514717</v>
      </c>
      <c r="J24" s="4">
        <f>res_share_region_target*'LEAP Scenario'!J24</f>
        <v>1.0659126123334366</v>
      </c>
      <c r="K24" s="5">
        <f>res_share_region_target*'LEAP Scenario'!K24</f>
        <v>8.3188720173535777E-2</v>
      </c>
    </row>
    <row r="25" spans="1:16" x14ac:dyDescent="0.25">
      <c r="A25" s="1" t="s">
        <v>22</v>
      </c>
      <c r="B25" s="4">
        <f>res_share_region_target*'LEAP Scenario'!B25</f>
        <v>0.36109389525875424</v>
      </c>
      <c r="C25" s="4">
        <f>res_share_region_target*'LEAP Scenario'!C25</f>
        <v>0.29161760148744964</v>
      </c>
      <c r="D25" s="4">
        <f>res_share_region_target*'LEAP Scenario'!D25</f>
        <v>0.24682367524016111</v>
      </c>
      <c r="E25" s="5">
        <f>res_share_region_target*'LEAP Scenario'!E25</f>
        <v>0.20477223427331886</v>
      </c>
      <c r="G25" s="1" t="s">
        <v>22</v>
      </c>
      <c r="H25" s="4">
        <f>res_share_region_target*'LEAP Scenario'!H25</f>
        <v>0.35652308645801051</v>
      </c>
      <c r="I25" s="4">
        <f>res_share_region_target*'LEAP Scenario'!I25</f>
        <v>0.23768205763867367</v>
      </c>
      <c r="J25" s="4">
        <f>res_share_region_target*'LEAP Scenario'!J25</f>
        <v>0.12889680818097302</v>
      </c>
      <c r="K25" s="5">
        <f>res_share_region_target*'LEAP Scenario'!K25</f>
        <v>1.4626588162379918E-2</v>
      </c>
    </row>
    <row r="26" spans="1:16" x14ac:dyDescent="0.25">
      <c r="A26" s="1" t="s">
        <v>23</v>
      </c>
      <c r="B26" s="4">
        <f>res_share_region_target*'LEAP Scenario'!B26</f>
        <v>2.7424852804462346E-3</v>
      </c>
      <c r="C26" s="4">
        <f>res_share_region_target*'LEAP Scenario'!C26</f>
        <v>8.2274558413387034E-3</v>
      </c>
      <c r="D26" s="4">
        <f>res_share_region_target*'LEAP Scenario'!D26</f>
        <v>1.2798264642082429E-2</v>
      </c>
      <c r="E26" s="5">
        <f>res_share_region_target*'LEAP Scenario'!E26</f>
        <v>1.9197396963123642E-2</v>
      </c>
      <c r="G26" s="1" t="s">
        <v>23</v>
      </c>
      <c r="H26" s="4">
        <f>res_share_region_target*'LEAP Scenario'!H26</f>
        <v>2.7424852804462346E-3</v>
      </c>
      <c r="I26" s="4">
        <f>res_share_region_target*'LEAP Scenario'!I26</f>
        <v>7.4961264332197075E-2</v>
      </c>
      <c r="J26" s="4">
        <f>res_share_region_target*'LEAP Scenario'!J26</f>
        <v>0.21757049891540128</v>
      </c>
      <c r="K26" s="5">
        <f>res_share_region_target*'LEAP Scenario'!K26</f>
        <v>0.42142857142857137</v>
      </c>
    </row>
    <row r="27" spans="1:16" x14ac:dyDescent="0.25">
      <c r="A27" s="1" t="s">
        <v>20</v>
      </c>
      <c r="B27" s="4">
        <f>res_share_region_target*'LEAP Scenario'!B27</f>
        <v>9.6901146575766955E-2</v>
      </c>
      <c r="C27" s="4">
        <f>res_share_region_target*'LEAP Scenario'!C27</f>
        <v>9.1416176014874492E-2</v>
      </c>
      <c r="D27" s="4">
        <f>res_share_region_target*'LEAP Scenario'!D27</f>
        <v>8.9587852494577E-2</v>
      </c>
      <c r="E27" s="5">
        <f>res_share_region_target*'LEAP Scenario'!E27</f>
        <v>8.8673690734428254E-2</v>
      </c>
      <c r="G27" s="1" t="s">
        <v>20</v>
      </c>
      <c r="H27" s="4">
        <f>res_share_region_target*'LEAP Scenario'!H27</f>
        <v>8.9587852494577E-2</v>
      </c>
      <c r="I27" s="4">
        <f>res_share_region_target*'LEAP Scenario'!I27</f>
        <v>5.576386736907344E-2</v>
      </c>
      <c r="J27" s="4">
        <f>res_share_region_target*'LEAP Scenario'!J27</f>
        <v>3.0167338084908582E-2</v>
      </c>
      <c r="K27" s="5">
        <f>res_share_region_target*'LEAP Scenario'!K27</f>
        <v>9.1416176014874487E-4</v>
      </c>
    </row>
    <row r="28" spans="1:16" x14ac:dyDescent="0.25">
      <c r="A28" s="1" t="s">
        <v>18</v>
      </c>
      <c r="B28" s="4">
        <f>res_share_region_target*'LEAP Scenario'!B28</f>
        <v>9.1416176014874487E-4</v>
      </c>
      <c r="C28" s="4">
        <f>res_share_region_target*'LEAP Scenario'!C28</f>
        <v>9.1416176014874487E-4</v>
      </c>
      <c r="D28" s="4">
        <f>res_share_region_target*'LEAP Scenario'!D28</f>
        <v>9.1416176014874487E-4</v>
      </c>
      <c r="E28" s="5">
        <f>res_share_region_target*'LEAP Scenario'!E28</f>
        <v>0</v>
      </c>
      <c r="G28" s="1" t="s">
        <v>18</v>
      </c>
      <c r="H28" s="4">
        <f>res_share_region_target*'LEAP Scenario'!H28</f>
        <v>7.313294081189959E-3</v>
      </c>
      <c r="I28" s="4">
        <f>res_share_region_target*'LEAP Scenario'!I28</f>
        <v>3.4738146885652306E-2</v>
      </c>
      <c r="J28" s="4">
        <f>res_share_region_target*'LEAP Scenario'!J28</f>
        <v>5.576386736907344E-2</v>
      </c>
      <c r="K28" s="5">
        <f>res_share_region_target*'LEAP Scenario'!K28</f>
        <v>7.9532073132940806E-2</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3.1236907344282607</v>
      </c>
      <c r="C30" s="8">
        <f>SUM(C24:C29)</f>
        <v>2.5587387666563366</v>
      </c>
      <c r="D30" s="8">
        <f>SUM(D24:D29)</f>
        <v>2.1967307096374338</v>
      </c>
      <c r="E30" s="9">
        <f>SUM(E24:E29)</f>
        <v>1.8630616671831421</v>
      </c>
      <c r="G30" s="7" t="s">
        <v>12</v>
      </c>
      <c r="H30" s="8">
        <f>SUM(H24:H29)</f>
        <v>3.1282615432290051</v>
      </c>
      <c r="I30" s="8">
        <f>SUM(I24:I29)</f>
        <v>2.317400061977068</v>
      </c>
      <c r="J30" s="8">
        <f>SUM(J24:J29)</f>
        <v>1.4983111248837928</v>
      </c>
      <c r="K30" s="9">
        <f>SUM(K24:K29)</f>
        <v>0.5996901146575766</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9" t="s">
        <v>184</v>
      </c>
      <c r="B48" s="17">
        <v>2015</v>
      </c>
      <c r="C48" s="17">
        <v>2025</v>
      </c>
      <c r="D48" s="17">
        <v>2035</v>
      </c>
      <c r="E48" s="17">
        <v>2050</v>
      </c>
    </row>
    <row r="49" spans="1:5" ht="89.25" customHeight="1" x14ac:dyDescent="0.25">
      <c r="A49" s="229"/>
      <c r="B49" s="20">
        <f>res_share_region_target*'LEAP Scenario'!B49</f>
        <v>1.0969941121784938E-2</v>
      </c>
      <c r="C49" s="20">
        <f>res_share_region_target*'LEAP Scenario'!C49</f>
        <v>5.1193058568329716E-2</v>
      </c>
      <c r="D49" s="20">
        <f>res_share_region_target*'LEAP Scenario'!D49</f>
        <v>8.0446234893089552E-2</v>
      </c>
      <c r="E49" s="20">
        <f>res_share_region_target*'LEAP Scenario'!E49</f>
        <v>0.11792686705918809</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26" t="s">
        <v>25</v>
      </c>
      <c r="C4" s="227"/>
      <c r="D4" s="227"/>
      <c r="E4" s="227"/>
      <c r="F4" s="228"/>
      <c r="H4" s="226" t="s">
        <v>30</v>
      </c>
      <c r="I4" s="227"/>
      <c r="J4" s="227"/>
      <c r="K4" s="227"/>
      <c r="L4" s="228"/>
      <c r="N4" s="226" t="s">
        <v>30</v>
      </c>
      <c r="O4" s="227"/>
      <c r="P4" s="227"/>
      <c r="Q4" s="227"/>
      <c r="R4" s="228"/>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475</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476</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477</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478</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479</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4650.3408738766648</v>
      </c>
      <c r="J21" s="63">
        <f>'2.Heat Targets'!C24</f>
        <v>3898.8999070343971</v>
      </c>
      <c r="K21" s="63">
        <f>'2.Heat Targets'!D24</f>
        <v>3221.506042764177</v>
      </c>
      <c r="L21" s="64">
        <f>'2.Heat Targets'!E24</f>
        <v>2198.5590331577314</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37.11496746203904</v>
      </c>
      <c r="J22" s="63">
        <f>'2.Heat Targets'!C25</f>
        <v>198.92159900836688</v>
      </c>
      <c r="K22" s="63">
        <f>'2.Heat Targets'!D25</f>
        <v>391.62689804772225</v>
      </c>
      <c r="L22" s="64">
        <f>'2.Heat Targets'!E25</f>
        <v>419.50883173225901</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4530.5856832971804</v>
      </c>
      <c r="J23" s="63">
        <f>'2.Heat Targets'!C26</f>
        <v>3698.6984815618216</v>
      </c>
      <c r="K23" s="63">
        <f>'2.Heat Targets'!D26</f>
        <v>2797.3349860551589</v>
      </c>
      <c r="L23" s="64">
        <f>'2.Heat Targets'!E26</f>
        <v>1576.0148744964361</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49.913232104121462</v>
      </c>
      <c r="J24" s="63">
        <f>'2.Heat Targets'!C27</f>
        <v>228.17477533312675</v>
      </c>
      <c r="K24" s="63">
        <f>'2.Heat Targets'!D27</f>
        <v>518.32971800433836</v>
      </c>
      <c r="L24" s="64">
        <f>'2.Heat Targets'!E27</f>
        <v>724.01611403780589</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106.95692593740215</v>
      </c>
      <c r="J25" s="63">
        <f>'2.Heat Targets'!C28</f>
        <v>170.9482491478154</v>
      </c>
      <c r="K25" s="63">
        <f>'2.Heat Targets'!D28</f>
        <v>297.46823675240182</v>
      </c>
      <c r="L25" s="64">
        <f>'2.Heat Targets'!E28</f>
        <v>318.03687635574829</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3">
        <f>'2.Heat Targets'!B29</f>
        <v>31.637499999999999</v>
      </c>
      <c r="J26" s="303">
        <f>'2.Heat Targets'!C29</f>
        <v>0</v>
      </c>
      <c r="K26" s="303">
        <f>'2.Heat Targets'!D29</f>
        <v>0</v>
      </c>
      <c r="L26" s="303">
        <f>'2.Heat Targets'!E29</f>
        <v>0</v>
      </c>
      <c r="O26" s="303">
        <f>'2.Heat Targets'!B29</f>
        <v>31.637499999999999</v>
      </c>
      <c r="P26" s="303"/>
      <c r="Q26" s="303"/>
      <c r="R26" s="303"/>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3.3807009383611901</v>
      </c>
      <c r="J27" s="63">
        <f>'2.Heat Targets'!C30</f>
        <v>5.4033425254149474</v>
      </c>
      <c r="K27" s="63">
        <f>'2.Heat Targets'!D30</f>
        <v>9.4023938918183116</v>
      </c>
      <c r="L27" s="64">
        <f>'2.Heat Targets'!E30</f>
        <v>10.052528687656999</v>
      </c>
      <c r="O27" s="62">
        <f>O25/$O$26</f>
        <v>321.63966240039906</v>
      </c>
      <c r="P27" s="63">
        <f>P25/$O$26</f>
        <v>1393.0075338389267</v>
      </c>
      <c r="Q27" s="63">
        <f>Q25/$O$26</f>
        <v>2100.2989860486132</v>
      </c>
      <c r="R27" s="64">
        <f>R25/$O$26</f>
        <v>4473.5220887717023</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21</v>
      </c>
      <c r="J28" s="203">
        <f>'2.Heat Targets'!C31</f>
        <v>22.26</v>
      </c>
      <c r="K28" s="203">
        <f>'2.Heat Targets'!D31</f>
        <v>23.595600000000005</v>
      </c>
      <c r="L28" s="203">
        <f>'2.Heat Targets'!E31</f>
        <v>25.011336000000007</v>
      </c>
      <c r="O28" s="203">
        <f>'2.Heat Targets'!B31</f>
        <v>21</v>
      </c>
      <c r="P28" s="203">
        <f>'2.Heat Targets'!C31</f>
        <v>22.26</v>
      </c>
      <c r="Q28" s="203">
        <f>'2.Heat Targets'!D31</f>
        <v>23.595600000000005</v>
      </c>
      <c r="R28" s="203">
        <f>'2.Heat Targets'!E31</f>
        <v>25.011336000000007</v>
      </c>
      <c r="T28" t="str">
        <f>'2.Heat Targets'!G31</f>
        <v>Enter a projection of the number of future residences in the area by each year.</v>
      </c>
    </row>
    <row r="29" spans="8:20" x14ac:dyDescent="0.25">
      <c r="I29" s="86">
        <f>'2.Heat Targets'!B32</f>
        <v>0.16098575896958048</v>
      </c>
      <c r="J29" s="87">
        <f>'2.Heat Targets'!C32</f>
        <v>0.2427377594526032</v>
      </c>
      <c r="K29" s="87">
        <f>'2.Heat Targets'!D32</f>
        <v>0.39848081387285383</v>
      </c>
      <c r="L29" s="88">
        <f>'2.Heat Targets'!E32</f>
        <v>0.40191890139962916</v>
      </c>
      <c r="O29" s="104">
        <f>O27/O28</f>
        <v>15.316174400019003</v>
      </c>
      <c r="P29" s="105">
        <f>P27/P28</f>
        <v>62.578954799592395</v>
      </c>
      <c r="Q29" s="105">
        <f>Q27/Q28</f>
        <v>89.012315264227766</v>
      </c>
      <c r="R29" s="106">
        <f>R27/R28</f>
        <v>178.85978137160291</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126.55</v>
      </c>
      <c r="J34" s="94">
        <f>'2.Heat Targets'!C54</f>
        <v>118.87038413531826</v>
      </c>
      <c r="K34" s="94">
        <f>'2.Heat Targets'!D54</f>
        <v>113.94306325109758</v>
      </c>
      <c r="L34" s="95">
        <f>'2.Heat Targets'!E54</f>
        <v>113.83429075696924</v>
      </c>
      <c r="O34" s="107">
        <f>'1.Current Heat'!B10</f>
        <v>126.55</v>
      </c>
      <c r="P34" s="108">
        <f>P29*($O$34-$O$26)+(1-P29)*$O$34</f>
        <v>-1853.2916824721042</v>
      </c>
      <c r="Q34" s="108">
        <f>Q29*($O$34-$O$26)+(1-Q29)*$O$34</f>
        <v>-2689.5771241720049</v>
      </c>
      <c r="R34" s="110">
        <f>R29*($O$34-$O$26)+(1-R29)*$O$34</f>
        <v>-5532.1263331440896</v>
      </c>
      <c r="T34" t="str">
        <f>'2.Heat Targets'!G54</f>
        <v>This is a projection of the average area residential heating load, in millions of Btu, computed based on values inputted above and in the "1.Current Heat" tab</v>
      </c>
    </row>
    <row r="35" spans="9:20" x14ac:dyDescent="0.25">
      <c r="I35" s="81">
        <f>'2.Heat Targets'!B55</f>
        <v>1671.0876975519059</v>
      </c>
      <c r="J35" s="82">
        <f>'2.Heat Targets'!C55</f>
        <v>1213.0926557173846</v>
      </c>
      <c r="K35" s="82">
        <f>'2.Heat Targets'!D55</f>
        <v>771.55252556554069</v>
      </c>
      <c r="L35" s="83">
        <f>'2.Heat Targets'!E55</f>
        <v>116.0985435388906</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13.204960075479304</v>
      </c>
      <c r="J37" s="63">
        <f>'2.Heat Targets'!C57</f>
        <v>10.205171494494698</v>
      </c>
      <c r="K37" s="63">
        <f>'2.Heat Targets'!D57</f>
        <v>6.7713865465005263</v>
      </c>
      <c r="L37" s="64">
        <f>'2.Heat Targets'!E57</f>
        <v>1.0198907795433576</v>
      </c>
      <c r="O37" s="62">
        <f>O35/O34</f>
        <v>2204.2142379462243</v>
      </c>
      <c r="P37" s="62">
        <f>P35/P34</f>
        <v>-114.83604893766233</v>
      </c>
      <c r="Q37" s="62">
        <f>Q35/Q34</f>
        <v>-55.600115070514015</v>
      </c>
      <c r="R37" s="112">
        <f>R35/R34</f>
        <v>-8.9036895955797632</v>
      </c>
      <c r="T37" t="str">
        <f>'2.Heat Targets'!G57</f>
        <v>This formula computes an estimate the number of residences using biofuel-blended heat energy in the 90x50 scenario based on values inputted in the "1.Current Heat" tab.</v>
      </c>
    </row>
    <row r="38" spans="9:20" x14ac:dyDescent="0.25">
      <c r="I38" s="65">
        <f>'2.Heat Targets'!B58</f>
        <v>0.62880762264187162</v>
      </c>
      <c r="J38" s="66">
        <f>'2.Heat Targets'!C58</f>
        <v>0.4584533465631041</v>
      </c>
      <c r="K38" s="66">
        <f>'2.Heat Targets'!D58</f>
        <v>0.28697666287360885</v>
      </c>
      <c r="L38" s="67">
        <f>'2.Heat Targets'!E58</f>
        <v>4.0777141194830911E-2</v>
      </c>
      <c r="O38" s="109">
        <f>O37/O28</f>
        <v>104.96258275934402</v>
      </c>
      <c r="P38" s="109">
        <f>P37/P28</f>
        <v>-5.1588521535337968</v>
      </c>
      <c r="Q38" s="109">
        <f>Q37/Q28</f>
        <v>-2.3563764036733121</v>
      </c>
      <c r="R38" s="113">
        <f>R37/R28</f>
        <v>-0.35598616545632589</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1988.3018283235201</v>
      </c>
      <c r="J39" s="82">
        <f>'2.Heat Targets'!C59</f>
        <v>1666.5168887511618</v>
      </c>
      <c r="K39" s="82">
        <f>'2.Heat Targets'!D59</f>
        <v>1320.9637434149361</v>
      </c>
      <c r="L39" s="83">
        <f>'2.Heat Targets'!E59</f>
        <v>956.21320111558703</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15.711590899435166</v>
      </c>
      <c r="J40" s="63">
        <f>'2.Heat Targets'!C60</f>
        <v>14.019613891834084</v>
      </c>
      <c r="K40" s="63">
        <f>'2.Heat Targets'!D60</f>
        <v>11.59319142143751</v>
      </c>
      <c r="L40" s="64">
        <f>'2.Heat Targets'!E60</f>
        <v>8.4000453181287558</v>
      </c>
      <c r="O40" s="62">
        <f>O39/O34</f>
        <v>1480.0581494080038</v>
      </c>
      <c r="P40" s="62">
        <f>P39/P34</f>
        <v>-104.37820205415825</v>
      </c>
      <c r="Q40" s="62">
        <f>Q39/Q34</f>
        <v>-72.561223085383148</v>
      </c>
      <c r="R40" s="112">
        <f>R39/R34</f>
        <v>-36.072980008124844</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0.74817099521119834</v>
      </c>
      <c r="J41" s="66">
        <f>'2.Heat Targets'!C61</f>
        <v>0.62981194482632896</v>
      </c>
      <c r="K41" s="66">
        <f>'2.Heat Targets'!D61</f>
        <v>0.49132852826109563</v>
      </c>
      <c r="L41" s="67">
        <f>'2.Heat Targets'!E61</f>
        <v>0.33584952511648131</v>
      </c>
      <c r="O41" s="109">
        <f>O40/O28</f>
        <v>70.478959495619236</v>
      </c>
      <c r="P41" s="109">
        <f>P40/P28</f>
        <v>-4.6890477113278637</v>
      </c>
      <c r="Q41" s="109">
        <f>Q40/Q28</f>
        <v>-3.0752014394795273</v>
      </c>
      <c r="R41" s="113">
        <f>R40/R28</f>
        <v>-1.4422652195838253</v>
      </c>
      <c r="T41" t="str">
        <f>'2.Heat Targets'!G61</f>
        <v>This formula computes the estimated share of area residences using Wood heat  in the 90x50 scenario, based on values inputted in the "1.Current Heat" tab.</v>
      </c>
    </row>
    <row r="42" spans="9:20" x14ac:dyDescent="0.25">
      <c r="I42" s="81">
        <f>'2.Heat Targets'!B62</f>
        <v>35.652308645801043</v>
      </c>
      <c r="J42" s="82">
        <f>'2.Heat Targets'!C62</f>
        <v>142.6092345832042</v>
      </c>
      <c r="K42" s="82">
        <f>'2.Heat Targets'!D62</f>
        <v>287.96095444685466</v>
      </c>
      <c r="L42" s="83">
        <f>'2.Heat Targets'!E62</f>
        <v>362.00805701890295</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0.96591455381749181</v>
      </c>
      <c r="J43" s="63">
        <f>'2.Heat Targets'!C63</f>
        <v>4.1589726783893983</v>
      </c>
      <c r="K43" s="63">
        <f>'2.Heat Targets'!D63</f>
        <v>8.8453242506123573</v>
      </c>
      <c r="L43" s="64">
        <f>'2.Heat Targets'!E63</f>
        <v>11.223994868897721</v>
      </c>
      <c r="O43" s="62">
        <f>O42/((0.7*O34)/2.4)</f>
        <v>164.3789890512777</v>
      </c>
      <c r="P43" s="112">
        <f>P42/((0.75*P34)/2.6)</f>
        <v>-53.04757258563636</v>
      </c>
      <c r="Q43" s="112">
        <f>Q42/((0.8*Q34)/2.8)</f>
        <v>-85.927913743647196</v>
      </c>
      <c r="R43" s="64">
        <f>R42/((0.85*R34)/3)</f>
        <v>-63.511811472123192</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4.5995931134166279E-2</v>
      </c>
      <c r="J44" s="66">
        <f>'2.Heat Targets'!C64</f>
        <v>0.18683614907409696</v>
      </c>
      <c r="K44" s="66">
        <f>'2.Heat Targets'!D64</f>
        <v>0.37487176637222008</v>
      </c>
      <c r="L44" s="67">
        <f>'2.Heat Targets'!E64</f>
        <v>0.44875631069438743</v>
      </c>
      <c r="O44" s="109">
        <f>O43/O28</f>
        <v>7.8275709072037003</v>
      </c>
      <c r="P44" s="109">
        <f>P43/P28</f>
        <v>-2.383089514179531</v>
      </c>
      <c r="Q44" s="109">
        <f>Q43/Q28</f>
        <v>-3.6416922537950795</v>
      </c>
      <c r="R44" s="113">
        <f>R43/R28</f>
        <v>-2.5393210291574659</v>
      </c>
      <c r="T44" t="str">
        <f>'2.Heat Targets'!G64</f>
        <v>This formula computes the estimated share of area residences using Heat Pumps in the 90x50 scenario based on values inputted above and in the "1.Current Heat" tab.</v>
      </c>
    </row>
    <row r="45" spans="9:20" x14ac:dyDescent="0.25">
      <c r="I45" s="81">
        <f>'2.Heat Targets'!B65</f>
        <v>646.31236442516263</v>
      </c>
      <c r="J45" s="82">
        <f>'2.Heat Targets'!C65</f>
        <v>505.53145336225589</v>
      </c>
      <c r="K45" s="82">
        <f>'2.Heat Targets'!D65</f>
        <v>323.6132630926557</v>
      </c>
      <c r="L45" s="83">
        <f>'2.Heat Targets'!E65</f>
        <v>113.35605825844436</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5.107170007310649</v>
      </c>
      <c r="J46" s="63">
        <f>'2.Heat Targets'!C66</f>
        <v>4.2527956567110525</v>
      </c>
      <c r="K46" s="63">
        <f>'2.Heat Targets'!D66</f>
        <v>2.840131324006145</v>
      </c>
      <c r="L46" s="64">
        <f>'2.Heat Targets'!E66</f>
        <v>0.9957988713651682</v>
      </c>
      <c r="O46" s="62">
        <f>O45/O34</f>
        <v>1873.0454424375434</v>
      </c>
      <c r="P46" s="62">
        <f>P45/P34</f>
        <v>-100.87663829504108</v>
      </c>
      <c r="Q46" s="62">
        <f>Q45/Q34</f>
        <v>-43.827026042749637</v>
      </c>
      <c r="R46" s="112">
        <f>R45/R34</f>
        <v>-5.4093534141912825</v>
      </c>
      <c r="T46" t="str">
        <f>'2.Heat Targets'!G66</f>
        <v>This formula computes the estimates number of area residences using fossil heat in the 90x50 scenario based on values inputted in the "1.Current Heat" tab.</v>
      </c>
    </row>
    <row r="47" spans="9:20" x14ac:dyDescent="0.25">
      <c r="I47" s="65">
        <f>'2.Heat Targets'!B67</f>
        <v>0.24319857177669757</v>
      </c>
      <c r="J47" s="66">
        <f>'2.Heat Targets'!C67</f>
        <v>0.19105101782170045</v>
      </c>
      <c r="K47" s="66">
        <f>'2.Heat Targets'!D67</f>
        <v>0.12036698893039992</v>
      </c>
      <c r="L47" s="67">
        <f>'2.Heat Targets'!E67</f>
        <v>3.9813901639047508E-2</v>
      </c>
      <c r="O47" s="109">
        <f>O46/O28</f>
        <v>89.192640116073491</v>
      </c>
      <c r="P47" s="109">
        <f>P46/P28</f>
        <v>-4.5317447571896254</v>
      </c>
      <c r="Q47" s="109">
        <f>Q46/Q28</f>
        <v>-1.8574236740218357</v>
      </c>
      <c r="R47" s="113">
        <f>R46/R28</f>
        <v>-0.21627606834721988</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8" sqref="C8"/>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464</v>
      </c>
      <c r="B1" s="187" t="s">
        <v>465</v>
      </c>
      <c r="C1" s="187" t="s">
        <v>466</v>
      </c>
      <c r="D1" s="190" t="s">
        <v>504</v>
      </c>
      <c r="E1" s="190" t="s">
        <v>505</v>
      </c>
      <c r="G1" t="s">
        <v>465</v>
      </c>
      <c r="H1" t="s">
        <v>504</v>
      </c>
    </row>
    <row r="2" spans="1:8" ht="15.75" x14ac:dyDescent="0.25">
      <c r="A2" s="187" t="s">
        <v>200</v>
      </c>
      <c r="B2" s="187" t="s">
        <v>201</v>
      </c>
      <c r="C2" s="187">
        <v>1415</v>
      </c>
      <c r="D2" s="189">
        <f t="shared" ref="D2:D65" si="0">C2/SUM($C$2:$C$256)</f>
        <v>2.2589471869322699E-3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5.7758805104741712E-2</v>
      </c>
    </row>
    <row r="3" spans="1:8" ht="15.75" x14ac:dyDescent="0.25">
      <c r="A3" s="187" t="s">
        <v>202</v>
      </c>
      <c r="B3" s="187" t="s">
        <v>203</v>
      </c>
      <c r="C3" s="187">
        <v>893</v>
      </c>
      <c r="D3" s="189">
        <f t="shared" si="0"/>
        <v>1.4256111928837576E-3</v>
      </c>
      <c r="E3" s="208">
        <f>town_population[[#This Row],[Pop Share of State]]/(INDEX(regional_population[Pop Share of State],MATCH(town_population[[#This Row],[Regional Planning Commission]],regional_population[Regional Planning Commission],0)))</f>
        <v>1.3836380539200496E-2</v>
      </c>
      <c r="G3" t="s">
        <v>209</v>
      </c>
      <c r="H3" s="189">
        <f>SUMIF(town_population[Regional Planning Commission],G3,town_population[Pop Share of State])</f>
        <v>5.6211865299697635E-2</v>
      </c>
    </row>
    <row r="4" spans="1:8" ht="15.75" x14ac:dyDescent="0.25">
      <c r="A4" s="187" t="s">
        <v>204</v>
      </c>
      <c r="B4" s="187" t="s">
        <v>205</v>
      </c>
      <c r="C4" s="187">
        <v>1623</v>
      </c>
      <c r="D4" s="189">
        <f t="shared" si="0"/>
        <v>2.5910044412657766E-3</v>
      </c>
      <c r="E4" s="208">
        <f>town_population[[#This Row],[Pop Share of State]]/(INDEX(regional_population[Pop Share of State],MATCH(town_population[[#This Row],[Regional Planning Commission]],regional_population[Regional Planning Commission],0)))</f>
        <v>2.93995109138665E-2</v>
      </c>
      <c r="G4" t="s">
        <v>219</v>
      </c>
      <c r="H4" s="189">
        <f>SUMIF(town_population[Regional Planning Commission],G4,town_population[Pop Share of State])</f>
        <v>0.10352044546757813</v>
      </c>
    </row>
    <row r="5" spans="1:8" ht="15.75" x14ac:dyDescent="0.25">
      <c r="A5" s="187" t="s">
        <v>206</v>
      </c>
      <c r="B5" s="187" t="s">
        <v>207</v>
      </c>
      <c r="C5" s="187">
        <v>425</v>
      </c>
      <c r="D5" s="189">
        <f t="shared" si="0"/>
        <v>6.7848237063336731E-4</v>
      </c>
      <c r="E5" s="208">
        <f>town_population[[#This Row],[Pop Share of State]]/(INDEX(regional_population[Pop Share of State],MATCH(town_population[[#This Row],[Regional Planning Commission]],regional_population[Regional Planning Commission],0)))</f>
        <v>1.7029972752043598E-2</v>
      </c>
      <c r="G5" t="s">
        <v>232</v>
      </c>
      <c r="H5" s="189">
        <f>SUMIF(town_population[Regional Planning Commission],G5,town_population[Pop Share of State])</f>
        <v>0.25333094933253297</v>
      </c>
    </row>
    <row r="6" spans="1:8" ht="15.75" x14ac:dyDescent="0.25">
      <c r="A6" s="187" t="s">
        <v>208</v>
      </c>
      <c r="B6" s="187" t="s">
        <v>209</v>
      </c>
      <c r="C6" s="187">
        <v>2354</v>
      </c>
      <c r="D6" s="189">
        <f t="shared" si="0"/>
        <v>3.7579941187551686E-3</v>
      </c>
      <c r="E6" s="208">
        <f>town_population[[#This Row],[Pop Share of State]]/(INDEX(regional_population[Pop Share of State],MATCH(town_population[[#This Row],[Regional Planning Commission]],regional_population[Regional Planning Commission],0)))</f>
        <v>6.6854108091221498E-2</v>
      </c>
      <c r="G6" t="s">
        <v>223</v>
      </c>
      <c r="H6" s="189">
        <f>SUMIF(town_population[Regional Planning Commission],G6,town_population[Pop Share of State])</f>
        <v>3.9660088314458226E-2</v>
      </c>
    </row>
    <row r="7" spans="1:8" ht="15.75" x14ac:dyDescent="0.25">
      <c r="A7" s="187" t="s">
        <v>210</v>
      </c>
      <c r="B7" s="187" t="s">
        <v>211</v>
      </c>
      <c r="C7" s="187">
        <v>402</v>
      </c>
      <c r="D7" s="189">
        <f t="shared" si="0"/>
        <v>6.4176450116379684E-4</v>
      </c>
      <c r="E7" s="208">
        <f>town_population[[#This Row],[Pop Share of State]]/(INDEX(regional_population[Pop Share of State],MATCH(town_population[[#This Row],[Regional Planning Commission]],regional_population[Regional Planning Commission],0)))</f>
        <v>8.705821205821208E-3</v>
      </c>
      <c r="G7" t="s">
        <v>203</v>
      </c>
      <c r="H7" s="189">
        <f>SUMIF(town_population[Regional Planning Commission],G7,town_population[Pop Share of State])</f>
        <v>0.10303353458982947</v>
      </c>
    </row>
    <row r="8" spans="1:8" ht="15.75" x14ac:dyDescent="0.25">
      <c r="A8" s="187" t="s">
        <v>562</v>
      </c>
      <c r="B8" s="187" t="s">
        <v>203</v>
      </c>
      <c r="C8" s="187">
        <v>59</v>
      </c>
      <c r="D8" s="189">
        <f t="shared" si="0"/>
        <v>9.4189317334985101E-5</v>
      </c>
      <c r="E8" s="208">
        <f>town_population[[#This Row],[Pop Share of State]]/(INDEX(regional_population[Pop Share of State],MATCH(town_population[[#This Row],[Regional Planning Commission]],regional_population[Regional Planning Commission],0)))</f>
        <v>9.1416176014874487E-4</v>
      </c>
      <c r="G8" t="s">
        <v>205</v>
      </c>
      <c r="H8" s="189">
        <f>SUMIF(town_population[Regional Planning Commission],G8,town_population[Pop Share of State])</f>
        <v>8.8130868872505971E-2</v>
      </c>
    </row>
    <row r="9" spans="1:8" ht="15.75" x14ac:dyDescent="0.25">
      <c r="A9" s="187" t="s">
        <v>212</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226</v>
      </c>
      <c r="H9" s="189">
        <f>SUMIF(town_population[Regional Planning Commission],G9,town_population[Pop Share of State])</f>
        <v>9.6180064431878778E-2</v>
      </c>
    </row>
    <row r="10" spans="1:8" ht="15.75" x14ac:dyDescent="0.25">
      <c r="A10" s="187" t="s">
        <v>213</v>
      </c>
      <c r="B10" s="187" t="s">
        <v>205</v>
      </c>
      <c r="C10" s="187">
        <v>1551</v>
      </c>
      <c r="D10" s="189">
        <f t="shared" si="0"/>
        <v>2.4760615455349474E-3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3.9840484803591321E-2</v>
      </c>
    </row>
    <row r="11" spans="1:8" ht="15.75" x14ac:dyDescent="0.25">
      <c r="A11" s="187" t="s">
        <v>214</v>
      </c>
      <c r="B11" s="187" t="s">
        <v>207</v>
      </c>
      <c r="C11" s="187">
        <v>234</v>
      </c>
      <c r="D11" s="189">
        <f t="shared" si="0"/>
        <v>3.7356441112519514E-4</v>
      </c>
      <c r="E11" s="208">
        <f>town_population[[#This Row],[Pop Share of State]]/(INDEX(regional_population[Pop Share of State],MATCH(town_population[[#This Row],[Regional Planning Commission]],regional_population[Regional Planning Commission],0)))</f>
        <v>9.3765026446545937E-3</v>
      </c>
      <c r="G11" t="s">
        <v>216</v>
      </c>
      <c r="H11" s="189">
        <f>SUMIF(town_population[Regional Planning Commission],G11,town_population[Pop Share of State])</f>
        <v>8.8616183321147263E-2</v>
      </c>
    </row>
    <row r="12" spans="1:8" ht="15.75" x14ac:dyDescent="0.25">
      <c r="A12" s="187" t="s">
        <v>215</v>
      </c>
      <c r="B12" s="187" t="s">
        <v>216</v>
      </c>
      <c r="C12" s="187">
        <v>899</v>
      </c>
      <c r="D12" s="189">
        <f t="shared" si="0"/>
        <v>1.4351897675279933E-3</v>
      </c>
      <c r="E12" s="208">
        <f>town_population[[#This Row],[Pop Share of State]]/(INDEX(regional_population[Pop Share of State],MATCH(town_population[[#This Row],[Regional Planning Commission]],regional_population[Regional Planning Commission],0)))</f>
        <v>1.6195571889243185E-2</v>
      </c>
      <c r="G12" t="s">
        <v>211</v>
      </c>
      <c r="H12" s="189">
        <f>SUMIF(town_population[Regional Planning Commission],G12,town_population[Pop Share of State])</f>
        <v>7.3716710462038496E-2</v>
      </c>
    </row>
    <row r="13" spans="1:8" ht="15.75" x14ac:dyDescent="0.25">
      <c r="A13" s="187" t="s">
        <v>217</v>
      </c>
      <c r="B13" s="187" t="s">
        <v>203</v>
      </c>
      <c r="C13" s="187">
        <v>1648</v>
      </c>
      <c r="D13" s="189">
        <f t="shared" si="0"/>
        <v>2.6309151689500924E-3</v>
      </c>
      <c r="E13" s="208">
        <f>town_population[[#This Row],[Pop Share of State]]/(INDEX(regional_population[Pop Share of State],MATCH(town_population[[#This Row],[Regional Planning Commission]],regional_population[Regional Planning Commission],0)))</f>
        <v>2.5534552215680198E-2</v>
      </c>
    </row>
    <row r="14" spans="1:8" ht="15.75" x14ac:dyDescent="0.25">
      <c r="A14" s="187" t="s">
        <v>220</v>
      </c>
      <c r="B14" s="187" t="s">
        <v>219</v>
      </c>
      <c r="C14" s="187">
        <v>7908</v>
      </c>
      <c r="D14" s="189">
        <f t="shared" si="0"/>
        <v>1.2624561381102749E-2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218</v>
      </c>
      <c r="B15" s="187" t="s">
        <v>219</v>
      </c>
      <c r="C15" s="187">
        <v>8955</v>
      </c>
      <c r="D15" s="189">
        <f t="shared" si="0"/>
        <v>1.4296022656521893E-2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221</v>
      </c>
      <c r="B16" s="187" t="s">
        <v>203</v>
      </c>
      <c r="C16" s="187">
        <v>2766</v>
      </c>
      <c r="D16" s="189">
        <f t="shared" si="0"/>
        <v>4.4157229109926914E-3</v>
      </c>
      <c r="E16" s="208">
        <f>town_population[[#This Row],[Pop Share of State]]/(INDEX(regional_population[Pop Share of State],MATCH(town_population[[#This Row],[Regional Planning Commission]],regional_population[Regional Planning Commission],0)))</f>
        <v>4.2857142857142858E-2</v>
      </c>
    </row>
    <row r="17" spans="1:5" ht="15.75" x14ac:dyDescent="0.25">
      <c r="A17" s="187" t="s">
        <v>222</v>
      </c>
      <c r="B17" s="187" t="s">
        <v>223</v>
      </c>
      <c r="C17" s="187">
        <v>364</v>
      </c>
      <c r="D17" s="189">
        <f t="shared" si="0"/>
        <v>5.8110019508363694E-4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224</v>
      </c>
      <c r="B18" s="187" t="s">
        <v>209</v>
      </c>
      <c r="C18" s="187">
        <v>15575</v>
      </c>
      <c r="D18" s="189">
        <f t="shared" si="0"/>
        <v>2.4864383347328694E-2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225</v>
      </c>
      <c r="B19" s="187" t="s">
        <v>226</v>
      </c>
      <c r="C19" s="187">
        <v>1065</v>
      </c>
      <c r="D19" s="189">
        <f t="shared" si="0"/>
        <v>1.7001969993518497E-3</v>
      </c>
      <c r="E19" s="208">
        <f>town_population[[#This Row],[Pop Share of State]]/(INDEX(regional_population[Pop Share of State],MATCH(town_population[[#This Row],[Regional Planning Commission]],regional_population[Regional Planning Commission],0)))</f>
        <v>1.7677228741680082E-2</v>
      </c>
    </row>
    <row r="20" spans="1:5" ht="15.75" x14ac:dyDescent="0.25">
      <c r="A20" s="187" t="s">
        <v>227</v>
      </c>
      <c r="B20" s="187" t="s">
        <v>205</v>
      </c>
      <c r="C20" s="187">
        <v>1760</v>
      </c>
      <c r="D20" s="189">
        <f t="shared" si="0"/>
        <v>2.809715228975827E-3</v>
      </c>
      <c r="E20" s="208">
        <f>town_population[[#This Row],[Pop Share of State]]/(INDEX(regional_population[Pop Share of State],MATCH(town_population[[#This Row],[Regional Planning Commission]],regional_population[Regional Planning Commission],0)))</f>
        <v>3.1881170183860164E-2</v>
      </c>
    </row>
    <row r="21" spans="1:5" ht="15.75" x14ac:dyDescent="0.25">
      <c r="A21" s="187" t="s">
        <v>228</v>
      </c>
      <c r="B21" s="187" t="s">
        <v>219</v>
      </c>
      <c r="C21" s="187">
        <v>2869</v>
      </c>
      <c r="D21" s="189">
        <f t="shared" si="0"/>
        <v>4.5801551090520727E-3</v>
      </c>
      <c r="E21" s="208">
        <f>town_population[[#This Row],[Pop Share of State]]/(INDEX(regional_population[Pop Share of State],MATCH(town_population[[#This Row],[Regional Planning Commission]],regional_population[Regional Planning Commission],0)))</f>
        <v>4.4243966381370958E-2</v>
      </c>
    </row>
    <row r="22" spans="1:5" ht="15.75" x14ac:dyDescent="0.25">
      <c r="A22" s="187" t="s">
        <v>229</v>
      </c>
      <c r="B22" s="187" t="s">
        <v>216</v>
      </c>
      <c r="C22" s="187">
        <v>1919</v>
      </c>
      <c r="D22" s="189">
        <f t="shared" si="0"/>
        <v>3.063547457048075E-3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230</v>
      </c>
      <c r="B23" s="187" t="s">
        <v>203</v>
      </c>
      <c r="C23" s="187">
        <v>207</v>
      </c>
      <c r="D23" s="189">
        <f t="shared" si="0"/>
        <v>3.304608252261342E-4</v>
      </c>
      <c r="E23" s="208">
        <f>town_population[[#This Row],[Pop Share of State]]/(INDEX(regional_population[Pop Share of State],MATCH(town_population[[#This Row],[Regional Planning Commission]],regional_population[Regional Planning Commission],0)))</f>
        <v>3.2073132940811902E-3</v>
      </c>
    </row>
    <row r="24" spans="1:5" ht="15.75" x14ac:dyDescent="0.25">
      <c r="A24" s="187" t="s">
        <v>231</v>
      </c>
      <c r="B24" s="187" t="s">
        <v>232</v>
      </c>
      <c r="C24" s="187">
        <v>1247</v>
      </c>
      <c r="D24" s="189">
        <f t="shared" si="0"/>
        <v>1.9907470968936682E-3</v>
      </c>
      <c r="E24" s="208">
        <f>town_population[[#This Row],[Pop Share of State]]/(INDEX(regional_population[Pop Share of State],MATCH(town_population[[#This Row],[Regional Planning Commission]],regional_population[Regional Planning Commission],0)))</f>
        <v>7.8582861752139448E-3</v>
      </c>
    </row>
    <row r="25" spans="1:5" ht="15.75" x14ac:dyDescent="0.25">
      <c r="A25" s="187" t="s">
        <v>233</v>
      </c>
      <c r="B25" s="187" t="s">
        <v>216</v>
      </c>
      <c r="C25" s="187">
        <v>2776</v>
      </c>
      <c r="D25" s="189">
        <f t="shared" si="0"/>
        <v>4.4316872020664175E-3</v>
      </c>
      <c r="E25" s="208">
        <f>town_population[[#This Row],[Pop Share of State]]/(INDEX(regional_population[Pop Share of State],MATCH(town_population[[#This Row],[Regional Planning Commission]],regional_population[Regional Planning Commission],0)))</f>
        <v>5.0009908303158039E-2</v>
      </c>
    </row>
    <row r="26" spans="1:5" ht="15.75" x14ac:dyDescent="0.25">
      <c r="A26" s="187" t="s">
        <v>234</v>
      </c>
      <c r="B26" s="187" t="s">
        <v>216</v>
      </c>
      <c r="C26" s="187">
        <v>1238</v>
      </c>
      <c r="D26" s="189">
        <f t="shared" si="0"/>
        <v>1.9763792349273145E-3</v>
      </c>
      <c r="E26" s="208">
        <f>town_population[[#This Row],[Pop Share of State]]/(INDEX(regional_population[Pop Share of State],MATCH(town_population[[#This Row],[Regional Planning Commission]],regional_population[Regional Planning Commission],0)))</f>
        <v>2.2302689653929991E-2</v>
      </c>
    </row>
    <row r="27" spans="1:5" ht="15.75" x14ac:dyDescent="0.25">
      <c r="A27" s="187" t="s">
        <v>235</v>
      </c>
      <c r="B27" s="187" t="s">
        <v>226</v>
      </c>
      <c r="C27" s="187">
        <v>3906</v>
      </c>
      <c r="D27" s="189">
        <f t="shared" si="0"/>
        <v>6.2356520933974889E-3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236</v>
      </c>
      <c r="B28" s="187" t="s">
        <v>211</v>
      </c>
      <c r="C28" s="187">
        <v>11876</v>
      </c>
      <c r="D28" s="189">
        <f t="shared" si="0"/>
        <v>1.895919207915734E-2</v>
      </c>
      <c r="E28" s="208">
        <f>town_population[[#This Row],[Pop Share of State]]/(INDEX(regional_population[Pop Share of State],MATCH(town_population[[#This Row],[Regional Planning Commission]],regional_population[Regional Planning Commission],0)))</f>
        <v>0.25718988218988226</v>
      </c>
    </row>
    <row r="29" spans="1:5" ht="15.75" x14ac:dyDescent="0.25">
      <c r="A29" s="187" t="s">
        <v>237</v>
      </c>
      <c r="B29" s="187" t="s">
        <v>216</v>
      </c>
      <c r="C29" s="187">
        <v>710</v>
      </c>
      <c r="D29" s="189">
        <f t="shared" si="0"/>
        <v>1.1334646662345665E-3</v>
      </c>
      <c r="E29" s="208">
        <f>town_population[[#This Row],[Pop Share of State]]/(INDEX(regional_population[Pop Share of State],MATCH(town_population[[#This Row],[Regional Planning Commission]],regional_population[Regional Planning Commission],0)))</f>
        <v>1.2790718622205407E-2</v>
      </c>
    </row>
    <row r="30" spans="1:5" ht="15.75" x14ac:dyDescent="0.25">
      <c r="A30" s="187" t="s">
        <v>238</v>
      </c>
      <c r="B30" s="187" t="s">
        <v>201</v>
      </c>
      <c r="C30" s="187">
        <v>1180</v>
      </c>
      <c r="D30" s="189">
        <f t="shared" si="0"/>
        <v>1.8837863466997021E-3</v>
      </c>
      <c r="E30" s="208">
        <f>town_population[[#This Row],[Pop Share of State]]/(INDEX(regional_population[Pop Share of State],MATCH(town_population[[#This Row],[Regional Planning Commission]],regional_population[Regional Planning Commission],0)))</f>
        <v>3.2614704256495299E-2</v>
      </c>
    </row>
    <row r="31" spans="1:5" ht="15.75" x14ac:dyDescent="0.25">
      <c r="A31" s="187" t="s">
        <v>239</v>
      </c>
      <c r="B31" s="187" t="s">
        <v>203</v>
      </c>
      <c r="C31" s="187">
        <v>939</v>
      </c>
      <c r="D31" s="189">
        <f t="shared" si="0"/>
        <v>1.4990469318228985E-3</v>
      </c>
      <c r="E31" s="208">
        <f>town_population[[#This Row],[Pop Share of State]]/(INDEX(regional_population[Pop Share of State],MATCH(town_population[[#This Row],[Regional Planning Commission]],regional_population[Regional Planning Commission],0)))</f>
        <v>1.4549116826774093E-2</v>
      </c>
    </row>
    <row r="32" spans="1:5" ht="15.75" x14ac:dyDescent="0.25">
      <c r="A32" s="187" t="s">
        <v>240</v>
      </c>
      <c r="B32" s="187" t="s">
        <v>201</v>
      </c>
      <c r="C32" s="187">
        <v>3896</v>
      </c>
      <c r="D32" s="189">
        <f t="shared" si="0"/>
        <v>6.2196878023237619E-3</v>
      </c>
      <c r="E32" s="208">
        <f>town_population[[#This Row],[Pop Share of State]]/(INDEX(regional_population[Pop Share of State],MATCH(town_population[[#This Row],[Regional Planning Commission]],regional_population[Regional Planning Commission],0)))</f>
        <v>0.10768380320619127</v>
      </c>
    </row>
    <row r="33" spans="1:5" ht="15.75" x14ac:dyDescent="0.25">
      <c r="A33" s="187" t="s">
        <v>241</v>
      </c>
      <c r="B33" s="187" t="s">
        <v>216</v>
      </c>
      <c r="C33" s="187">
        <v>1297</v>
      </c>
      <c r="D33" s="189">
        <f t="shared" si="0"/>
        <v>2.0705685522622998E-3</v>
      </c>
      <c r="E33" s="208">
        <f>town_population[[#This Row],[Pop Share of State]]/(INDEX(regional_population[Pop Share of State],MATCH(town_population[[#This Row],[Regional Planning Commission]],regional_population[Regional Planning Commission],0)))</f>
        <v>2.3365580356338612E-2</v>
      </c>
    </row>
    <row r="34" spans="1:5" ht="15.75" x14ac:dyDescent="0.25">
      <c r="A34" s="187" t="s">
        <v>242</v>
      </c>
      <c r="B34" s="187" t="s">
        <v>211</v>
      </c>
      <c r="C34" s="187">
        <v>567</v>
      </c>
      <c r="D34" s="189">
        <f t="shared" si="0"/>
        <v>9.0517530388028056E-4</v>
      </c>
      <c r="E34" s="208">
        <f>town_population[[#This Row],[Pop Share of State]]/(INDEX(regional_population[Pop Share of State],MATCH(town_population[[#This Row],[Regional Planning Commission]],regional_population[Regional Planning Commission],0)))</f>
        <v>1.2279106029106032E-2</v>
      </c>
    </row>
    <row r="35" spans="1:5" ht="15.75" x14ac:dyDescent="0.25">
      <c r="A35" s="187" t="s">
        <v>243</v>
      </c>
      <c r="B35" s="187" t="s">
        <v>203</v>
      </c>
      <c r="C35" s="187">
        <v>973</v>
      </c>
      <c r="D35" s="189">
        <f t="shared" si="0"/>
        <v>1.5533255214735678E-3</v>
      </c>
      <c r="E35" s="208">
        <f>town_population[[#This Row],[Pop Share of State]]/(INDEX(regional_population[Pop Share of State],MATCH(town_population[[#This Row],[Regional Planning Commission]],regional_population[Regional Planning Commission],0)))</f>
        <v>1.5075921908893708E-2</v>
      </c>
    </row>
    <row r="36" spans="1:5" ht="15.75" x14ac:dyDescent="0.25">
      <c r="A36" s="187" t="s">
        <v>244</v>
      </c>
      <c r="B36" s="187" t="s">
        <v>203</v>
      </c>
      <c r="C36" s="187">
        <v>84</v>
      </c>
      <c r="D36" s="189">
        <f t="shared" si="0"/>
        <v>1.3410004501930082E-4</v>
      </c>
      <c r="E36" s="208">
        <f>town_population[[#This Row],[Pop Share of State]]/(INDEX(regional_population[Pop Share of State],MATCH(town_population[[#This Row],[Regional Planning Commission]],regional_population[Regional Planning Commission],0)))</f>
        <v>1.3015184381778742E-3</v>
      </c>
    </row>
    <row r="37" spans="1:5" ht="15.75" x14ac:dyDescent="0.25">
      <c r="A37" s="187" t="s">
        <v>245</v>
      </c>
      <c r="B37" s="187" t="s">
        <v>232</v>
      </c>
      <c r="C37" s="187">
        <v>43</v>
      </c>
      <c r="D37" s="189">
        <f t="shared" si="0"/>
        <v>6.8646451617023041E-5</v>
      </c>
      <c r="E37" s="208">
        <f>town_population[[#This Row],[Pop Share of State]]/(INDEX(regional_population[Pop Share of State],MATCH(town_population[[#This Row],[Regional Planning Commission]],regional_population[Regional Planning Commission],0)))</f>
        <v>2.7097538535220502E-4</v>
      </c>
    </row>
    <row r="38" spans="1:5" ht="15.75" x14ac:dyDescent="0.25">
      <c r="A38" s="187" t="s">
        <v>246</v>
      </c>
      <c r="B38" s="187" t="s">
        <v>203</v>
      </c>
      <c r="C38" s="187">
        <v>1711</v>
      </c>
      <c r="D38" s="189">
        <f t="shared" si="0"/>
        <v>2.7314902027145683E-3</v>
      </c>
      <c r="E38" s="208">
        <f>town_population[[#This Row],[Pop Share of State]]/(INDEX(regional_population[Pop Share of State],MATCH(town_population[[#This Row],[Regional Planning Commission]],regional_population[Regional Planning Commission],0)))</f>
        <v>2.6510691044313604E-2</v>
      </c>
    </row>
    <row r="39" spans="1:5" ht="15.75" x14ac:dyDescent="0.25">
      <c r="A39" s="188" t="s">
        <v>247</v>
      </c>
      <c r="B39" s="187" t="s">
        <v>232</v>
      </c>
      <c r="C39" s="187">
        <v>42342</v>
      </c>
      <c r="D39" s="189">
        <f t="shared" si="0"/>
        <v>6.7596001264371847E-2</v>
      </c>
      <c r="E39" s="208">
        <f>town_population[[#This Row],[Pop Share of State]]/(INDEX(regional_population[Pop Share of State],MATCH(town_population[[#This Row],[Regional Planning Commission]],regional_population[Regional Planning Commission],0)))</f>
        <v>0.26682883178100147</v>
      </c>
    </row>
    <row r="40" spans="1:5" ht="15.75" x14ac:dyDescent="0.25">
      <c r="A40" s="187" t="s">
        <v>248</v>
      </c>
      <c r="B40" s="187" t="s">
        <v>219</v>
      </c>
      <c r="C40" s="187">
        <v>1393</v>
      </c>
      <c r="D40" s="189">
        <f t="shared" si="0"/>
        <v>2.2238257465700723E-3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249</v>
      </c>
      <c r="B41" s="187" t="s">
        <v>219</v>
      </c>
      <c r="C41" s="187">
        <v>1556</v>
      </c>
      <c r="D41" s="189">
        <f t="shared" si="0"/>
        <v>2.4840436910718105E-3</v>
      </c>
      <c r="E41" s="208">
        <f>town_population[[#This Row],[Pop Share of State]]/(INDEX(regional_population[Pop Share of State],MATCH(town_population[[#This Row],[Regional Planning Commission]],regional_population[Regional Planning Commission],0)))</f>
        <v>2.3995682010949183E-2</v>
      </c>
    </row>
    <row r="42" spans="1:5" ht="15.75" x14ac:dyDescent="0.25">
      <c r="A42" s="187" t="s">
        <v>250</v>
      </c>
      <c r="B42" s="187" t="s">
        <v>223</v>
      </c>
      <c r="C42" s="187">
        <v>3713</v>
      </c>
      <c r="D42" s="189">
        <f t="shared" si="0"/>
        <v>5.9275412756745714E-3</v>
      </c>
      <c r="E42" s="208">
        <f>town_population[[#This Row],[Pop Share of State]]/(INDEX(regional_population[Pop Share of State],MATCH(town_population[[#This Row],[Regional Planning Commission]],regional_population[Regional Planning Commission],0)))</f>
        <v>0.14945860000805053</v>
      </c>
    </row>
    <row r="43" spans="1:5" ht="15.75" x14ac:dyDescent="0.25">
      <c r="A43" s="187" t="s">
        <v>251</v>
      </c>
      <c r="B43" s="187" t="s">
        <v>203</v>
      </c>
      <c r="C43" s="187">
        <v>1164</v>
      </c>
      <c r="D43" s="189">
        <f t="shared" si="0"/>
        <v>1.85824348098174E-3</v>
      </c>
      <c r="E43" s="208">
        <f>town_population[[#This Row],[Pop Share of State]]/(INDEX(regional_population[Pop Share of State],MATCH(town_population[[#This Row],[Regional Planning Commission]],regional_population[Regional Planning Commission],0)))</f>
        <v>1.8035326929036255E-2</v>
      </c>
    </row>
    <row r="44" spans="1:5" ht="15.75" x14ac:dyDescent="0.25">
      <c r="A44" s="187" t="s">
        <v>252</v>
      </c>
      <c r="B44" s="187" t="s">
        <v>226</v>
      </c>
      <c r="C44" s="187">
        <v>4669</v>
      </c>
      <c r="D44" s="189">
        <f t="shared" si="0"/>
        <v>7.4537275023228043E-3</v>
      </c>
      <c r="E44" s="208">
        <f>town_population[[#This Row],[Pop Share of State]]/(INDEX(regional_population[Pop Share of State],MATCH(town_population[[#This Row],[Regional Planning Commission]],regional_population[Regional Planning Commission],0)))</f>
        <v>7.7497634736999346E-2</v>
      </c>
    </row>
    <row r="45" spans="1:5" ht="15.75" x14ac:dyDescent="0.25">
      <c r="A45" s="187" t="s">
        <v>253</v>
      </c>
      <c r="B45" s="187" t="s">
        <v>207</v>
      </c>
      <c r="C45" s="187">
        <v>1587</v>
      </c>
      <c r="D45" s="189">
        <f t="shared" si="0"/>
        <v>2.5335329934003622E-3</v>
      </c>
      <c r="E45" s="208">
        <f>town_population[[#This Row],[Pop Share of State]]/(INDEX(regional_population[Pop Share of State],MATCH(town_population[[#This Row],[Regional Planning Commission]],regional_population[Regional Planning Commission],0)))</f>
        <v>6.3591921782336927E-2</v>
      </c>
    </row>
    <row r="46" spans="1:5" ht="15.75" x14ac:dyDescent="0.25">
      <c r="A46" s="187" t="s">
        <v>254</v>
      </c>
      <c r="B46" s="187" t="s">
        <v>203</v>
      </c>
      <c r="C46" s="187">
        <v>939</v>
      </c>
      <c r="D46" s="189">
        <f t="shared" si="0"/>
        <v>1.4990469318228985E-3</v>
      </c>
      <c r="E46" s="208">
        <f>town_population[[#This Row],[Pop Share of State]]/(INDEX(regional_population[Pop Share of State],MATCH(town_population[[#This Row],[Regional Planning Commission]],regional_population[Regional Planning Commission],0)))</f>
        <v>1.4549116826774093E-2</v>
      </c>
    </row>
    <row r="47" spans="1:5" ht="15.75" x14ac:dyDescent="0.25">
      <c r="A47" s="187" t="s">
        <v>255</v>
      </c>
      <c r="B47" s="187" t="s">
        <v>232</v>
      </c>
      <c r="C47" s="187">
        <v>3810</v>
      </c>
      <c r="D47" s="189">
        <f t="shared" si="0"/>
        <v>6.0823948990897164E-3</v>
      </c>
      <c r="E47" s="208">
        <f>town_population[[#This Row],[Pop Share of State]]/(INDEX(regional_population[Pop Share of State],MATCH(town_population[[#This Row],[Regional Planning Commission]],regional_population[Regional Planning Commission],0)))</f>
        <v>2.4009679492834911E-2</v>
      </c>
    </row>
    <row r="48" spans="1:5" ht="15.75" x14ac:dyDescent="0.25">
      <c r="A48" s="187" t="s">
        <v>256</v>
      </c>
      <c r="B48" s="187" t="s">
        <v>216</v>
      </c>
      <c r="C48" s="187">
        <v>1430</v>
      </c>
      <c r="D48" s="189">
        <f t="shared" si="0"/>
        <v>2.2828936235428595E-3</v>
      </c>
      <c r="E48" s="208">
        <f>town_population[[#This Row],[Pop Share of State]]/(INDEX(regional_population[Pop Share of State],MATCH(town_population[[#This Row],[Regional Planning Commission]],regional_population[Regional Planning Commission],0)))</f>
        <v>2.5761588210920752E-2</v>
      </c>
    </row>
    <row r="49" spans="1:5" ht="15.75" x14ac:dyDescent="0.25">
      <c r="A49" s="187" t="s">
        <v>257</v>
      </c>
      <c r="B49" s="187" t="s">
        <v>207</v>
      </c>
      <c r="C49" s="187">
        <v>3128</v>
      </c>
      <c r="D49" s="189">
        <f t="shared" si="0"/>
        <v>4.9936302478615835E-3</v>
      </c>
      <c r="E49" s="208">
        <f>town_population[[#This Row],[Pop Share of State]]/(INDEX(regional_population[Pop Share of State],MATCH(town_population[[#This Row],[Regional Planning Commission]],regional_population[Regional Planning Commission],0)))</f>
        <v>0.12534059945504089</v>
      </c>
    </row>
    <row r="50" spans="1:5" ht="15.75" x14ac:dyDescent="0.25">
      <c r="A50" s="187" t="s">
        <v>258</v>
      </c>
      <c r="B50" s="187" t="s">
        <v>226</v>
      </c>
      <c r="C50" s="187">
        <v>1198</v>
      </c>
      <c r="D50" s="189">
        <f t="shared" si="0"/>
        <v>1.9125220706324095E-3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259</v>
      </c>
      <c r="B51" s="187" t="s">
        <v>226</v>
      </c>
      <c r="C51" s="187">
        <v>2535</v>
      </c>
      <c r="D51" s="189">
        <f t="shared" si="0"/>
        <v>4.0469477871896142E-3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260</v>
      </c>
      <c r="B52" s="187" t="s">
        <v>232</v>
      </c>
      <c r="C52" s="187">
        <v>17249</v>
      </c>
      <c r="D52" s="189">
        <f t="shared" si="0"/>
        <v>2.7536805673070475E-2</v>
      </c>
      <c r="E52" s="208">
        <f>town_population[[#This Row],[Pop Share of State]]/(INDEX(regional_population[Pop Share of State],MATCH(town_population[[#This Row],[Regional Planning Commission]],regional_population[Regional Planning Commission],0)))</f>
        <v>0.10869894004512055</v>
      </c>
    </row>
    <row r="53" spans="1:5" ht="15.75" x14ac:dyDescent="0.25">
      <c r="A53" s="187" t="s">
        <v>261</v>
      </c>
      <c r="B53" s="187" t="s">
        <v>203</v>
      </c>
      <c r="C53" s="187">
        <v>1203</v>
      </c>
      <c r="D53" s="189">
        <f t="shared" si="0"/>
        <v>1.9205042161692725E-3</v>
      </c>
      <c r="E53" s="208">
        <f>town_population[[#This Row],[Pop Share of State]]/(INDEX(regional_population[Pop Share of State],MATCH(town_population[[#This Row],[Regional Planning Commission]],regional_population[Regional Planning Commission],0)))</f>
        <v>1.8639603346761697E-2</v>
      </c>
    </row>
    <row r="54" spans="1:5" ht="15.75" x14ac:dyDescent="0.25">
      <c r="A54" s="187" t="s">
        <v>262</v>
      </c>
      <c r="B54" s="187" t="s">
        <v>216</v>
      </c>
      <c r="C54" s="187">
        <v>1302</v>
      </c>
      <c r="D54" s="189">
        <f t="shared" si="0"/>
        <v>2.0785506977991628E-3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263</v>
      </c>
      <c r="B55" s="187" t="s">
        <v>201</v>
      </c>
      <c r="C55" s="187">
        <v>1089</v>
      </c>
      <c r="D55" s="189">
        <f t="shared" si="0"/>
        <v>1.7385112979287928E-3</v>
      </c>
      <c r="E55" s="208">
        <f>town_population[[#This Row],[Pop Share of State]]/(INDEX(regional_population[Pop Share of State],MATCH(town_population[[#This Row],[Regional Planning Commission]],regional_population[Regional Planning Commission],0)))</f>
        <v>3.0099502487562189E-2</v>
      </c>
    </row>
    <row r="56" spans="1:5" ht="15.75" x14ac:dyDescent="0.25">
      <c r="A56" s="187" t="s">
        <v>264</v>
      </c>
      <c r="B56" s="187" t="s">
        <v>203</v>
      </c>
      <c r="C56" s="187">
        <v>1123</v>
      </c>
      <c r="D56" s="189">
        <f t="shared" si="0"/>
        <v>1.7927898875794623E-3</v>
      </c>
      <c r="E56" s="208">
        <f>town_population[[#This Row],[Pop Share of State]]/(INDEX(regional_population[Pop Share of State],MATCH(town_population[[#This Row],[Regional Planning Commission]],regional_population[Regional Planning Commission],0)))</f>
        <v>1.7400061977068483E-2</v>
      </c>
    </row>
    <row r="57" spans="1:5" ht="15.75" x14ac:dyDescent="0.25">
      <c r="A57" s="187" t="s">
        <v>265</v>
      </c>
      <c r="B57" s="187" t="s">
        <v>203</v>
      </c>
      <c r="C57" s="187">
        <v>1238</v>
      </c>
      <c r="D57" s="189">
        <f t="shared" si="0"/>
        <v>1.9763792349273145E-3</v>
      </c>
      <c r="E57" s="208">
        <f>town_population[[#This Row],[Pop Share of State]]/(INDEX(regional_population[Pop Share of State],MATCH(town_population[[#This Row],[Regional Planning Commission]],regional_population[Regional Planning Commission],0)))</f>
        <v>1.9181902696002479E-2</v>
      </c>
    </row>
    <row r="58" spans="1:5" ht="15.75" x14ac:dyDescent="0.25">
      <c r="A58" s="187" t="s">
        <v>266</v>
      </c>
      <c r="B58" s="187" t="s">
        <v>226</v>
      </c>
      <c r="C58" s="187">
        <v>1366</v>
      </c>
      <c r="D58" s="189">
        <f t="shared" si="0"/>
        <v>2.1807221606710112E-3</v>
      </c>
      <c r="E58" s="208">
        <f>town_population[[#This Row],[Pop Share of State]]/(INDEX(regional_population[Pop Share of State],MATCH(town_population[[#This Row],[Regional Planning Commission]],regional_population[Regional Planning Commission],0)))</f>
        <v>2.2673328132521122E-2</v>
      </c>
    </row>
    <row r="59" spans="1:5" ht="15.75" x14ac:dyDescent="0.25">
      <c r="A59" s="187" t="s">
        <v>267</v>
      </c>
      <c r="B59" s="187" t="s">
        <v>203</v>
      </c>
      <c r="C59" s="187">
        <v>2247</v>
      </c>
      <c r="D59" s="189">
        <f t="shared" si="0"/>
        <v>3.5871762042662971E-3</v>
      </c>
      <c r="E59" s="208">
        <f>town_population[[#This Row],[Pop Share of State]]/(INDEX(regional_population[Pop Share of State],MATCH(town_population[[#This Row],[Regional Planning Commission]],regional_population[Regional Planning Commission],0)))</f>
        <v>3.4815618221258129E-2</v>
      </c>
    </row>
    <row r="60" spans="1:5" ht="15.75" x14ac:dyDescent="0.25">
      <c r="A60" s="187" t="s">
        <v>268</v>
      </c>
      <c r="B60" s="187" t="s">
        <v>203</v>
      </c>
      <c r="C60" s="187">
        <v>4561</v>
      </c>
      <c r="D60" s="189">
        <f t="shared" si="0"/>
        <v>7.2813131587265607E-3</v>
      </c>
      <c r="E60" s="208">
        <f>town_population[[#This Row],[Pop Share of State]]/(INDEX(regional_population[Pop Share of State],MATCH(town_population[[#This Row],[Regional Planning Commission]],regional_population[Regional Planning Commission],0)))</f>
        <v>7.0669352339634339E-2</v>
      </c>
    </row>
    <row r="61" spans="1:5" ht="15.75" x14ac:dyDescent="0.25">
      <c r="A61" s="187" t="s">
        <v>269</v>
      </c>
      <c r="B61" s="187" t="s">
        <v>209</v>
      </c>
      <c r="C61" s="187">
        <v>2118</v>
      </c>
      <c r="D61" s="189">
        <f t="shared" si="0"/>
        <v>3.381236849415228E-3</v>
      </c>
      <c r="E61" s="208">
        <f>town_population[[#This Row],[Pop Share of State]]/(INDEX(regional_population[Pop Share of State],MATCH(town_population[[#This Row],[Regional Planning Commission]],regional_population[Regional Planning Commission],0)))</f>
        <v>6.0151657152594358E-2</v>
      </c>
    </row>
    <row r="62" spans="1:5" ht="15.75" x14ac:dyDescent="0.25">
      <c r="A62" s="187" t="s">
        <v>270</v>
      </c>
      <c r="B62" s="187" t="s">
        <v>211</v>
      </c>
      <c r="C62" s="187">
        <v>1335</v>
      </c>
      <c r="D62" s="189">
        <f t="shared" si="0"/>
        <v>2.1312328583424594E-3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271</v>
      </c>
      <c r="B63" s="187" t="s">
        <v>211</v>
      </c>
      <c r="C63" s="187">
        <v>1933</v>
      </c>
      <c r="D63" s="189">
        <f t="shared" si="0"/>
        <v>3.0858974645512917E-3</v>
      </c>
      <c r="E63" s="208">
        <f>town_population[[#This Row],[Pop Share of State]]/(INDEX(regional_population[Pop Share of State],MATCH(town_population[[#This Row],[Regional Planning Commission]],regional_population[Regional Planning Commission],0)))</f>
        <v>4.1861573111573125E-2</v>
      </c>
    </row>
    <row r="64" spans="1:5" ht="15.75" x14ac:dyDescent="0.25">
      <c r="A64" s="187" t="s">
        <v>272</v>
      </c>
      <c r="B64" s="187" t="s">
        <v>219</v>
      </c>
      <c r="C64" s="187">
        <v>1409</v>
      </c>
      <c r="D64" s="189">
        <f t="shared" si="0"/>
        <v>2.2493686122880339E-3</v>
      </c>
      <c r="E64" s="208">
        <f>town_population[[#This Row],[Pop Share of State]]/(INDEX(regional_population[Pop Share of State],MATCH(town_population[[#This Row],[Regional Planning Commission]],regional_population[Regional Planning Commission],0)))</f>
        <v>2.1728737759272105E-2</v>
      </c>
    </row>
    <row r="65" spans="1:5" ht="15.75" x14ac:dyDescent="0.25">
      <c r="A65" s="187" t="s">
        <v>273</v>
      </c>
      <c r="B65" s="187" t="s">
        <v>203</v>
      </c>
      <c r="C65" s="187">
        <v>338</v>
      </c>
      <c r="D65" s="189">
        <f t="shared" si="0"/>
        <v>5.395930382919486E-4</v>
      </c>
      <c r="E65" s="208">
        <f>town_population[[#This Row],[Pop Share of State]]/(INDEX(regional_population[Pop Share of State],MATCH(town_population[[#This Row],[Regional Planning Commission]],regional_population[Regional Planning Commission],0)))</f>
        <v>5.2370622869538268E-3</v>
      </c>
    </row>
    <row r="66" spans="1:5" ht="15.75" x14ac:dyDescent="0.25">
      <c r="A66" s="187" t="s">
        <v>274</v>
      </c>
      <c r="B66" s="187" t="s">
        <v>219</v>
      </c>
      <c r="C66" s="187">
        <v>2601</v>
      </c>
      <c r="D66" s="189">
        <f t="shared" ref="D66:D129" si="1">C66/SUM($C$2:$C$256)</f>
        <v>4.1523121082762075E-3</v>
      </c>
      <c r="E66" s="208">
        <f>town_population[[#This Row],[Pop Share of State]]/(INDEX(regional_population[Pop Share of State],MATCH(town_population[[#This Row],[Regional Planning Commission]],regional_population[Regional Planning Commission],0)))</f>
        <v>4.011103400416377E-2</v>
      </c>
    </row>
    <row r="67" spans="1:5" ht="15.75" x14ac:dyDescent="0.25">
      <c r="A67" s="187" t="s">
        <v>275</v>
      </c>
      <c r="B67" s="187" t="s">
        <v>223</v>
      </c>
      <c r="C67" s="187">
        <v>1353</v>
      </c>
      <c r="D67" s="189">
        <f t="shared" si="1"/>
        <v>2.1599685822751668E-3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276</v>
      </c>
      <c r="B68" s="187" t="s">
        <v>223</v>
      </c>
      <c r="C68" s="187">
        <v>946</v>
      </c>
      <c r="D68" s="189">
        <f t="shared" si="1"/>
        <v>1.5102219355745069E-3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277</v>
      </c>
      <c r="B69" s="187" t="s">
        <v>205</v>
      </c>
      <c r="C69" s="187">
        <v>2771</v>
      </c>
      <c r="D69" s="189">
        <f t="shared" si="1"/>
        <v>4.4237050565295545E-3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278</v>
      </c>
      <c r="B70" s="187" t="s">
        <v>232</v>
      </c>
      <c r="C70" s="187">
        <v>20172</v>
      </c>
      <c r="D70" s="189">
        <f t="shared" si="1"/>
        <v>3.2203167953920669E-2</v>
      </c>
      <c r="E70" s="208">
        <f>town_population[[#This Row],[Pop Share of State]]/(INDEX(regional_population[Pop Share of State],MATCH(town_population[[#This Row],[Regional Planning Commission]],regional_population[Regional Planning Commission],0)))</f>
        <v>0.12711896449592278</v>
      </c>
    </row>
    <row r="71" spans="1:5" ht="15.75" x14ac:dyDescent="0.25">
      <c r="A71" s="187" t="s">
        <v>279</v>
      </c>
      <c r="B71" s="187" t="s">
        <v>226</v>
      </c>
      <c r="C71" s="187">
        <v>2694</v>
      </c>
      <c r="D71" s="189">
        <f t="shared" si="1"/>
        <v>4.3007800152618627E-3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280</v>
      </c>
      <c r="B72" s="187" t="s">
        <v>205</v>
      </c>
      <c r="C72" s="187">
        <v>4397</v>
      </c>
      <c r="D72" s="189">
        <f t="shared" si="1"/>
        <v>7.0194987851174492E-3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281</v>
      </c>
      <c r="B73" s="187" t="s">
        <v>205</v>
      </c>
      <c r="C73" s="187">
        <v>1856</v>
      </c>
      <c r="D73" s="189">
        <f t="shared" si="1"/>
        <v>2.9629724232835991E-3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282</v>
      </c>
      <c r="B74" s="187" t="s">
        <v>216</v>
      </c>
      <c r="C74" s="187">
        <v>1029</v>
      </c>
      <c r="D74" s="189">
        <f t="shared" si="1"/>
        <v>1.6427255514864351E-3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283</v>
      </c>
      <c r="B75" s="187" t="s">
        <v>219</v>
      </c>
      <c r="C75" s="187">
        <v>1314</v>
      </c>
      <c r="D75" s="189">
        <f t="shared" si="1"/>
        <v>2.0977078470876343E-3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284</v>
      </c>
      <c r="B76" s="187" t="s">
        <v>203</v>
      </c>
      <c r="C76" s="187">
        <v>28</v>
      </c>
      <c r="D76" s="189">
        <f t="shared" si="1"/>
        <v>4.4700015006433612E-5</v>
      </c>
      <c r="E76" s="208">
        <f>town_population[[#This Row],[Pop Share of State]]/(INDEX(regional_population[Pop Share of State],MATCH(town_population[[#This Row],[Regional Planning Commission]],regional_population[Regional Planning Commission],0)))</f>
        <v>4.3383947939262476E-4</v>
      </c>
    </row>
    <row r="77" spans="1:5" ht="15.75" x14ac:dyDescent="0.25">
      <c r="A77" s="187" t="s">
        <v>285</v>
      </c>
      <c r="B77" s="187" t="s">
        <v>201</v>
      </c>
      <c r="C77" s="187">
        <v>2779</v>
      </c>
      <c r="D77" s="189">
        <f t="shared" si="1"/>
        <v>4.4364764893885357E-3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286</v>
      </c>
      <c r="B78" s="187" t="s">
        <v>205</v>
      </c>
      <c r="C78" s="187">
        <v>1244</v>
      </c>
      <c r="D78" s="189">
        <f t="shared" si="1"/>
        <v>1.9859578095715504E-3</v>
      </c>
      <c r="E78" s="208">
        <f>town_population[[#This Row],[Pop Share of State]]/(INDEX(regional_population[Pop Share of State],MATCH(town_population[[#This Row],[Regional Planning Commission]],regional_population[Regional Planning Commission],0)))</f>
        <v>2.2534190743592069E-2</v>
      </c>
    </row>
    <row r="79" spans="1:5" ht="15.75" x14ac:dyDescent="0.25">
      <c r="A79" s="187" t="s">
        <v>287</v>
      </c>
      <c r="B79" s="187" t="s">
        <v>205</v>
      </c>
      <c r="C79" s="187">
        <v>1240</v>
      </c>
      <c r="D79" s="189">
        <f t="shared" si="1"/>
        <v>1.9795720931420598E-3</v>
      </c>
      <c r="E79" s="208">
        <f>town_population[[#This Row],[Pop Share of State]]/(INDEX(regional_population[Pop Share of State],MATCH(town_population[[#This Row],[Regional Planning Commission]],regional_population[Regional Planning Commission],0)))</f>
        <v>2.246173353862875E-2</v>
      </c>
    </row>
    <row r="80" spans="1:5" ht="15.75" x14ac:dyDescent="0.25">
      <c r="A80" s="187" t="s">
        <v>288</v>
      </c>
      <c r="B80" s="187" t="s">
        <v>205</v>
      </c>
      <c r="C80" s="187">
        <v>4610</v>
      </c>
      <c r="D80" s="189">
        <f t="shared" si="1"/>
        <v>7.359538184987819E-3</v>
      </c>
      <c r="E80" s="208">
        <f>town_population[[#This Row],[Pop Share of State]]/(INDEX(regional_population[Pop Share of State],MATCH(town_population[[#This Row],[Regional Planning Commission]],regional_population[Regional Planning Commission],0)))</f>
        <v>8.3506928720224624E-2</v>
      </c>
    </row>
    <row r="81" spans="1:5" ht="15.75" x14ac:dyDescent="0.25">
      <c r="A81" s="187" t="s">
        <v>289</v>
      </c>
      <c r="B81" s="187" t="s">
        <v>209</v>
      </c>
      <c r="C81" s="187">
        <v>9</v>
      </c>
      <c r="D81" s="189">
        <f t="shared" si="1"/>
        <v>1.436786196635366E-5</v>
      </c>
      <c r="E81" s="208">
        <f>town_population[[#This Row],[Pop Share of State]]/(INDEX(regional_population[Pop Share of State],MATCH(town_population[[#This Row],[Regional Planning Commission]],regional_population[Regional Planning Commission],0)))</f>
        <v>2.5560194257476357E-4</v>
      </c>
    </row>
    <row r="82" spans="1:5" ht="15.75" x14ac:dyDescent="0.25">
      <c r="A82" s="187" t="s">
        <v>290</v>
      </c>
      <c r="B82" s="187" t="s">
        <v>203</v>
      </c>
      <c r="C82" s="187">
        <v>1072</v>
      </c>
      <c r="D82" s="189">
        <f t="shared" si="1"/>
        <v>1.7113720031034581E-3</v>
      </c>
      <c r="E82" s="208">
        <f>town_population[[#This Row],[Pop Share of State]]/(INDEX(regional_population[Pop Share of State],MATCH(town_population[[#This Row],[Regional Planning Commission]],regional_population[Regional Planning Commission],0)))</f>
        <v>1.6609854353889061E-2</v>
      </c>
    </row>
    <row r="83" spans="1:5" ht="15.75" x14ac:dyDescent="0.25">
      <c r="A83" s="187" t="s">
        <v>291</v>
      </c>
      <c r="B83" s="187" t="s">
        <v>201</v>
      </c>
      <c r="C83" s="187">
        <v>135</v>
      </c>
      <c r="D83" s="189">
        <f t="shared" si="1"/>
        <v>2.1551792949530489E-4</v>
      </c>
      <c r="E83" s="208">
        <f>town_population[[#This Row],[Pop Share of State]]/(INDEX(regional_population[Pop Share of State],MATCH(town_population[[#This Row],[Regional Planning Commission]],regional_population[Regional Planning Commission],0)))</f>
        <v>3.7313432835820895E-3</v>
      </c>
    </row>
    <row r="84" spans="1:5" ht="15.75" x14ac:dyDescent="0.25">
      <c r="A84" s="187" t="s">
        <v>292</v>
      </c>
      <c r="B84" s="187" t="s">
        <v>211</v>
      </c>
      <c r="C84" s="187">
        <v>609</v>
      </c>
      <c r="D84" s="189">
        <f t="shared" si="1"/>
        <v>9.7222532638993099E-4</v>
      </c>
      <c r="E84" s="208">
        <f>town_population[[#This Row],[Pop Share of State]]/(INDEX(regional_population[Pop Share of State],MATCH(town_population[[#This Row],[Regional Planning Commission]],regional_population[Regional Planning Commission],0)))</f>
        <v>1.3188669438669441E-2</v>
      </c>
    </row>
    <row r="85" spans="1:5" ht="15.75" x14ac:dyDescent="0.25">
      <c r="A85" s="187" t="s">
        <v>293</v>
      </c>
      <c r="B85" s="187" t="s">
        <v>203</v>
      </c>
      <c r="C85" s="187">
        <v>85</v>
      </c>
      <c r="D85" s="189">
        <f t="shared" si="1"/>
        <v>1.3569647412667345E-4</v>
      </c>
      <c r="E85" s="208">
        <f>town_population[[#This Row],[Pop Share of State]]/(INDEX(regional_population[Pop Share of State],MATCH(town_population[[#This Row],[Regional Planning Commission]],regional_population[Regional Planning Commission],0)))</f>
        <v>1.3170127052990392E-3</v>
      </c>
    </row>
    <row r="86" spans="1:5" ht="15.75" x14ac:dyDescent="0.25">
      <c r="A86" s="187" t="s">
        <v>294</v>
      </c>
      <c r="B86" s="187" t="s">
        <v>205</v>
      </c>
      <c r="C86" s="187">
        <v>2264</v>
      </c>
      <c r="D86" s="189">
        <f t="shared" si="1"/>
        <v>3.6143154990916316E-3</v>
      </c>
      <c r="E86" s="208">
        <f>town_population[[#This Row],[Pop Share of State]]/(INDEX(regional_population[Pop Share of State],MATCH(town_population[[#This Row],[Regional Planning Commission]],regional_population[Regional Planning Commission],0)))</f>
        <v>4.1010778009238295E-2</v>
      </c>
    </row>
    <row r="87" spans="1:5" ht="15.75" x14ac:dyDescent="0.25">
      <c r="A87" s="187" t="s">
        <v>295</v>
      </c>
      <c r="B87" s="187" t="s">
        <v>216</v>
      </c>
      <c r="C87" s="187">
        <v>308</v>
      </c>
      <c r="D87" s="189">
        <f t="shared" si="1"/>
        <v>4.9170016507076974E-4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296</v>
      </c>
      <c r="B88" s="187" t="s">
        <v>203</v>
      </c>
      <c r="C88" s="187">
        <v>723</v>
      </c>
      <c r="D88" s="189">
        <f t="shared" si="1"/>
        <v>1.1542182446304108E-3</v>
      </c>
      <c r="E88" s="208">
        <f>town_population[[#This Row],[Pop Share of State]]/(INDEX(regional_population[Pop Share of State],MATCH(town_population[[#This Row],[Regional Planning Commission]],regional_population[Regional Planning Commission],0)))</f>
        <v>1.1202355128602418E-2</v>
      </c>
    </row>
    <row r="89" spans="1:5" ht="15.75" x14ac:dyDescent="0.25">
      <c r="A89" s="187" t="s">
        <v>297</v>
      </c>
      <c r="B89" s="187" t="s">
        <v>203</v>
      </c>
      <c r="C89" s="187">
        <v>1013</v>
      </c>
      <c r="D89" s="189">
        <f t="shared" si="1"/>
        <v>1.617182685768473E-3</v>
      </c>
      <c r="E89" s="208">
        <f>town_population[[#This Row],[Pop Share of State]]/(INDEX(regional_population[Pop Share of State],MATCH(town_population[[#This Row],[Regional Planning Commission]],regional_population[Regional Planning Commission],0)))</f>
        <v>1.5695692593740315E-2</v>
      </c>
    </row>
    <row r="90" spans="1:5" ht="15.75" x14ac:dyDescent="0.25">
      <c r="A90" s="187" t="s">
        <v>298</v>
      </c>
      <c r="B90" s="187" t="s">
        <v>203</v>
      </c>
      <c r="C90" s="187">
        <v>209</v>
      </c>
      <c r="D90" s="189">
        <f t="shared" si="1"/>
        <v>3.3365368344087946E-4</v>
      </c>
      <c r="E90" s="208">
        <f>town_population[[#This Row],[Pop Share of State]]/(INDEX(regional_population[Pop Share of State],MATCH(town_population[[#This Row],[Regional Planning Commission]],regional_population[Regional Planning Commission],0)))</f>
        <v>3.2383018283235203E-3</v>
      </c>
    </row>
    <row r="91" spans="1:5" ht="15.75" x14ac:dyDescent="0.25">
      <c r="A91" s="187" t="s">
        <v>299</v>
      </c>
      <c r="B91" s="187" t="s">
        <v>211</v>
      </c>
      <c r="C91" s="187">
        <v>2151</v>
      </c>
      <c r="D91" s="189">
        <f t="shared" si="1"/>
        <v>3.4339190099585246E-3</v>
      </c>
      <c r="E91" s="208">
        <f>town_population[[#This Row],[Pop Share of State]]/(INDEX(regional_population[Pop Share of State],MATCH(town_population[[#This Row],[Regional Planning Commission]],regional_population[Regional Planning Commission],0)))</f>
        <v>4.658264033264034E-2</v>
      </c>
    </row>
    <row r="92" spans="1:5" ht="15.75" x14ac:dyDescent="0.25">
      <c r="A92" s="187" t="s">
        <v>300</v>
      </c>
      <c r="B92" s="187" t="s">
        <v>211</v>
      </c>
      <c r="C92" s="187">
        <v>692</v>
      </c>
      <c r="D92" s="189">
        <f t="shared" si="1"/>
        <v>1.1047289423018593E-3</v>
      </c>
      <c r="E92" s="208">
        <f>town_population[[#This Row],[Pop Share of State]]/(INDEX(regional_population[Pop Share of State],MATCH(town_population[[#This Row],[Regional Planning Commission]],regional_population[Regional Planning Commission],0)))</f>
        <v>1.498613998613999E-2</v>
      </c>
    </row>
    <row r="93" spans="1:5" ht="15.75" x14ac:dyDescent="0.25">
      <c r="A93" s="187" t="s">
        <v>301</v>
      </c>
      <c r="B93" s="187" t="s">
        <v>216</v>
      </c>
      <c r="C93" s="187">
        <v>395</v>
      </c>
      <c r="D93" s="189">
        <f t="shared" si="1"/>
        <v>6.3058949741218845E-4</v>
      </c>
      <c r="E93" s="208">
        <f>town_population[[#This Row],[Pop Share of State]]/(INDEX(regional_population[Pop Share of State],MATCH(town_population[[#This Row],[Regional Planning Commission]],regional_population[Regional Planning Commission],0)))</f>
        <v>7.1159631771424451E-3</v>
      </c>
    </row>
    <row r="94" spans="1:5" ht="15.75" x14ac:dyDescent="0.25">
      <c r="A94" s="187" t="s">
        <v>302</v>
      </c>
      <c r="B94" s="187" t="s">
        <v>203</v>
      </c>
      <c r="C94" s="187">
        <v>2976</v>
      </c>
      <c r="D94" s="189">
        <f t="shared" si="1"/>
        <v>4.7509730235409438E-3</v>
      </c>
      <c r="E94" s="208">
        <f>town_population[[#This Row],[Pop Share of State]]/(INDEX(regional_population[Pop Share of State],MATCH(town_population[[#This Row],[Regional Planning Commission]],regional_population[Regional Planning Commission],0)))</f>
        <v>4.6110938952587541E-2</v>
      </c>
    </row>
    <row r="95" spans="1:5" ht="15.75" x14ac:dyDescent="0.25">
      <c r="A95" s="187" t="s">
        <v>303</v>
      </c>
      <c r="B95" s="187" t="s">
        <v>216</v>
      </c>
      <c r="C95" s="187">
        <v>9869</v>
      </c>
      <c r="D95" s="189">
        <f t="shared" si="1"/>
        <v>1.5755158860660475E-2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304</v>
      </c>
      <c r="B96" s="187" t="s">
        <v>216</v>
      </c>
      <c r="C96" s="187">
        <v>3397</v>
      </c>
      <c r="D96" s="189">
        <f t="shared" si="1"/>
        <v>5.4230696777448203E-3</v>
      </c>
      <c r="E96" s="208">
        <f>town_population[[#This Row],[Pop Share of State]]/(INDEX(regional_population[Pop Share of State],MATCH(town_population[[#This Row],[Regional Planning Commission]],regional_population[Regional Planning Commission],0)))</f>
        <v>6.1197283323425028E-2</v>
      </c>
    </row>
    <row r="97" spans="1:5" ht="15.75" x14ac:dyDescent="0.25">
      <c r="A97" s="187" t="s">
        <v>305</v>
      </c>
      <c r="B97" s="187" t="s">
        <v>205</v>
      </c>
      <c r="C97" s="187">
        <v>3576</v>
      </c>
      <c r="D97" s="189">
        <f t="shared" si="1"/>
        <v>5.708830487964521E-3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306</v>
      </c>
      <c r="B98" s="187" t="s">
        <v>232</v>
      </c>
      <c r="C98" s="187">
        <v>4451</v>
      </c>
      <c r="D98" s="189">
        <f t="shared" si="1"/>
        <v>7.1057059569155714E-3</v>
      </c>
      <c r="E98" s="208">
        <f>town_population[[#This Row],[Pop Share of State]]/(INDEX(regional_population[Pop Share of State],MATCH(town_population[[#This Row],[Regional Planning Commission]],regional_population[Regional Planning Commission],0)))</f>
        <v>2.8049103260527081E-2</v>
      </c>
    </row>
    <row r="99" spans="1:5" ht="15.75" x14ac:dyDescent="0.25">
      <c r="A99" s="187" t="s">
        <v>307</v>
      </c>
      <c r="B99" s="187" t="s">
        <v>203</v>
      </c>
      <c r="C99" s="187">
        <v>689</v>
      </c>
      <c r="D99" s="189">
        <f t="shared" si="1"/>
        <v>1.0999396549797413E-3</v>
      </c>
      <c r="E99" s="208">
        <f>town_population[[#This Row],[Pop Share of State]]/(INDEX(regional_population[Pop Share of State],MATCH(town_population[[#This Row],[Regional Planning Commission]],regional_population[Regional Planning Commission],0)))</f>
        <v>1.0675550046482801E-2</v>
      </c>
    </row>
    <row r="100" spans="1:5" ht="15.75" x14ac:dyDescent="0.25">
      <c r="A100" s="187" t="s">
        <v>308</v>
      </c>
      <c r="B100" s="187" t="s">
        <v>226</v>
      </c>
      <c r="C100" s="187">
        <v>624</v>
      </c>
      <c r="D100" s="189">
        <f t="shared" si="1"/>
        <v>9.9617176300052053E-4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309</v>
      </c>
      <c r="B101" s="187" t="s">
        <v>232</v>
      </c>
      <c r="C101" s="187">
        <v>1924</v>
      </c>
      <c r="D101" s="189">
        <f t="shared" si="1"/>
        <v>3.071529602584938E-3</v>
      </c>
      <c r="E101" s="208">
        <f>town_population[[#This Row],[Pop Share of State]]/(INDEX(regional_population[Pop Share of State],MATCH(town_population[[#This Row],[Regional Planning Commission]],regional_population[Regional Planning Commission],0)))</f>
        <v>1.2124573056224242E-2</v>
      </c>
    </row>
    <row r="102" spans="1:5" ht="15.75" x14ac:dyDescent="0.25">
      <c r="A102" s="187" t="s">
        <v>310</v>
      </c>
      <c r="B102" s="187" t="s">
        <v>223</v>
      </c>
      <c r="C102" s="187">
        <v>3011</v>
      </c>
      <c r="D102" s="189">
        <f t="shared" si="1"/>
        <v>4.8068480422989853E-3</v>
      </c>
      <c r="E102" s="208">
        <f>town_population[[#This Row],[Pop Share of State]]/(INDEX(regional_population[Pop Share of State],MATCH(town_population[[#This Row],[Regional Planning Commission]],regional_population[Regional Planning Commission],0)))</f>
        <v>0.12120114317916512</v>
      </c>
    </row>
    <row r="103" spans="1:5" ht="15.75" x14ac:dyDescent="0.25">
      <c r="A103" s="187" t="s">
        <v>311</v>
      </c>
      <c r="B103" s="187" t="s">
        <v>226</v>
      </c>
      <c r="C103" s="187">
        <v>441</v>
      </c>
      <c r="D103" s="189">
        <f t="shared" si="1"/>
        <v>7.040252363513294E-4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312</v>
      </c>
      <c r="B104" s="187" t="s">
        <v>203</v>
      </c>
      <c r="C104" s="187">
        <v>1195</v>
      </c>
      <c r="D104" s="189">
        <f t="shared" si="1"/>
        <v>1.9077327833102915E-3</v>
      </c>
      <c r="E104" s="208">
        <f>town_population[[#This Row],[Pop Share of State]]/(INDEX(regional_population[Pop Share of State],MATCH(town_population[[#This Row],[Regional Planning Commission]],regional_population[Regional Planning Commission],0)))</f>
        <v>1.8515649209792377E-2</v>
      </c>
    </row>
    <row r="105" spans="1:5" ht="15.75" x14ac:dyDescent="0.25">
      <c r="A105" s="187" t="s">
        <v>313</v>
      </c>
      <c r="B105" s="187" t="s">
        <v>205</v>
      </c>
      <c r="C105" s="187">
        <v>577</v>
      </c>
      <c r="D105" s="189">
        <f t="shared" si="1"/>
        <v>9.2113959495400692E-4</v>
      </c>
      <c r="E105" s="208">
        <f>town_population[[#This Row],[Pop Share of State]]/(INDEX(regional_population[Pop Share of State],MATCH(town_population[[#This Row],[Regional Planning Commission]],regional_population[Regional Planning Commission],0)))</f>
        <v>1.0451951815958701E-2</v>
      </c>
    </row>
    <row r="106" spans="1:5" ht="15.75" x14ac:dyDescent="0.25">
      <c r="A106" s="187" t="s">
        <v>314</v>
      </c>
      <c r="B106" s="187" t="s">
        <v>211</v>
      </c>
      <c r="C106" s="187">
        <v>899</v>
      </c>
      <c r="D106" s="189">
        <f t="shared" si="1"/>
        <v>1.4351897675279933E-3</v>
      </c>
      <c r="E106" s="208">
        <f>town_population[[#This Row],[Pop Share of State]]/(INDEX(regional_population[Pop Share of State],MATCH(town_population[[#This Row],[Regional Planning Commission]],regional_population[Regional Planning Commission],0)))</f>
        <v>1.9468988218988223E-2</v>
      </c>
    </row>
    <row r="107" spans="1:5" ht="15.75" x14ac:dyDescent="0.25">
      <c r="A107" s="187" t="s">
        <v>315</v>
      </c>
      <c r="B107" s="187" t="s">
        <v>203</v>
      </c>
      <c r="C107" s="187">
        <v>818</v>
      </c>
      <c r="D107" s="189">
        <f t="shared" si="1"/>
        <v>1.3058790098308105E-3</v>
      </c>
      <c r="E107" s="208">
        <f>town_population[[#This Row],[Pop Share of State]]/(INDEX(regional_population[Pop Share of State],MATCH(town_population[[#This Row],[Regional Planning Commission]],regional_population[Regional Planning Commission],0)))</f>
        <v>1.2674310505113107E-2</v>
      </c>
    </row>
    <row r="108" spans="1:5" ht="15.75" x14ac:dyDescent="0.25">
      <c r="A108" s="187" t="s">
        <v>316</v>
      </c>
      <c r="B108" s="187" t="s">
        <v>232</v>
      </c>
      <c r="C108" s="187">
        <v>5040</v>
      </c>
      <c r="D108" s="189">
        <f t="shared" si="1"/>
        <v>8.04600270115805E-3</v>
      </c>
      <c r="E108" s="208">
        <f>town_population[[#This Row],[Pop Share of State]]/(INDEX(regional_population[Pop Share of State],MATCH(town_population[[#This Row],[Regional Planning Commission]],regional_population[Regional Planning Commission],0)))</f>
        <v>3.1760835864537519E-2</v>
      </c>
    </row>
    <row r="109" spans="1:5" ht="15.75" x14ac:dyDescent="0.25">
      <c r="A109" s="187" t="s">
        <v>317</v>
      </c>
      <c r="B109" s="187" t="s">
        <v>223</v>
      </c>
      <c r="C109" s="187">
        <v>3491</v>
      </c>
      <c r="D109" s="189">
        <f t="shared" si="1"/>
        <v>5.5731340138378471E-3</v>
      </c>
      <c r="E109" s="208">
        <f>town_population[[#This Row],[Pop Share of State]]/(INDEX(regional_population[Pop Share of State],MATCH(town_population[[#This Row],[Regional Planning Commission]],regional_population[Regional Planning Commission],0)))</f>
        <v>0.14052248118182181</v>
      </c>
    </row>
    <row r="110" spans="1:5" ht="15.75" x14ac:dyDescent="0.25">
      <c r="A110" s="187" t="s">
        <v>318</v>
      </c>
      <c r="B110" s="187" t="s">
        <v>226</v>
      </c>
      <c r="C110" s="187">
        <v>896</v>
      </c>
      <c r="D110" s="189">
        <f t="shared" si="1"/>
        <v>1.4304004802058756E-3</v>
      </c>
      <c r="E110" s="208">
        <f>town_population[[#This Row],[Pop Share of State]]/(INDEX(regional_population[Pop Share of State],MATCH(town_population[[#This Row],[Regional Planning Commission]],regional_population[Regional Planning Commission],0)))</f>
        <v>1.4872109814596577E-2</v>
      </c>
    </row>
    <row r="111" spans="1:5" ht="15.75" x14ac:dyDescent="0.25">
      <c r="A111" s="187" t="s">
        <v>319</v>
      </c>
      <c r="B111" s="187" t="s">
        <v>203</v>
      </c>
      <c r="C111" s="187">
        <v>435</v>
      </c>
      <c r="D111" s="189">
        <f t="shared" si="1"/>
        <v>6.9444666170709356E-4</v>
      </c>
      <c r="E111" s="208">
        <f>town_population[[#This Row],[Pop Share of State]]/(INDEX(regional_population[Pop Share of State],MATCH(town_population[[#This Row],[Regional Planning Commission]],regional_population[Regional Planning Commission],0)))</f>
        <v>6.7400061977068481E-3</v>
      </c>
    </row>
    <row r="112" spans="1:5" ht="15.75" x14ac:dyDescent="0.25">
      <c r="A112" s="187" t="s">
        <v>320</v>
      </c>
      <c r="B112" s="187" t="s">
        <v>209</v>
      </c>
      <c r="C112" s="187">
        <v>132</v>
      </c>
      <c r="D112" s="189">
        <f t="shared" si="1"/>
        <v>2.1072864217318703E-4</v>
      </c>
      <c r="E112" s="208">
        <f>town_population[[#This Row],[Pop Share of State]]/(INDEX(regional_population[Pop Share of State],MATCH(town_population[[#This Row],[Regional Planning Commission]],regional_population[Regional Planning Commission],0)))</f>
        <v>3.7488284910965329E-3</v>
      </c>
    </row>
    <row r="113" spans="1:5" ht="15.75" x14ac:dyDescent="0.25">
      <c r="A113" s="187" t="s">
        <v>321</v>
      </c>
      <c r="B113" s="187" t="s">
        <v>201</v>
      </c>
      <c r="C113" s="187">
        <v>1226</v>
      </c>
      <c r="D113" s="189">
        <f t="shared" si="1"/>
        <v>1.957222085638843E-3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322</v>
      </c>
      <c r="B114" s="187" t="s">
        <v>203</v>
      </c>
      <c r="C114" s="187">
        <v>134</v>
      </c>
      <c r="D114" s="189">
        <f t="shared" si="1"/>
        <v>2.1392150038793226E-4</v>
      </c>
      <c r="E114" s="208">
        <f>town_population[[#This Row],[Pop Share of State]]/(INDEX(regional_population[Pop Share of State],MATCH(town_population[[#This Row],[Regional Planning Commission]],regional_population[Regional Planning Commission],0)))</f>
        <v>2.0762317942361326E-3</v>
      </c>
    </row>
    <row r="115" spans="1:5" ht="15.75" x14ac:dyDescent="0.25">
      <c r="A115" s="187" t="s">
        <v>323</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324</v>
      </c>
      <c r="B116" s="187" t="s">
        <v>201</v>
      </c>
      <c r="C116" s="187">
        <v>1221</v>
      </c>
      <c r="D116" s="189">
        <f t="shared" si="1"/>
        <v>1.9492399401019799E-3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325</v>
      </c>
      <c r="B117" s="187" t="s">
        <v>211</v>
      </c>
      <c r="C117" s="187">
        <v>1596</v>
      </c>
      <c r="D117" s="189">
        <f t="shared" si="1"/>
        <v>2.5479008553667159E-3</v>
      </c>
      <c r="E117" s="208">
        <f>town_population[[#This Row],[Pop Share of State]]/(INDEX(regional_population[Pop Share of State],MATCH(town_population[[#This Row],[Regional Planning Commission]],regional_population[Regional Planning Commission],0)))</f>
        <v>3.4563409563409572E-2</v>
      </c>
    </row>
    <row r="118" spans="1:5" ht="15.75" x14ac:dyDescent="0.25">
      <c r="A118" s="187" t="s">
        <v>326</v>
      </c>
      <c r="B118" s="187" t="s">
        <v>203</v>
      </c>
      <c r="C118" s="187">
        <v>810</v>
      </c>
      <c r="D118" s="189">
        <f t="shared" si="1"/>
        <v>1.2931075769718294E-3</v>
      </c>
      <c r="E118" s="208">
        <f>town_population[[#This Row],[Pop Share of State]]/(INDEX(regional_population[Pop Share of State],MATCH(town_population[[#This Row],[Regional Planning Commission]],regional_population[Regional Planning Commission],0)))</f>
        <v>1.2550356368143787E-2</v>
      </c>
    </row>
    <row r="119" spans="1:5" ht="15.75" x14ac:dyDescent="0.25">
      <c r="A119" s="187" t="s">
        <v>327</v>
      </c>
      <c r="B119" s="187" t="s">
        <v>207</v>
      </c>
      <c r="C119" s="187">
        <v>2131</v>
      </c>
      <c r="D119" s="189">
        <f t="shared" si="1"/>
        <v>3.4019904278110723E-3</v>
      </c>
      <c r="E119" s="208">
        <f>town_population[[#This Row],[Pop Share of State]]/(INDEX(regional_population[Pop Share of State],MATCH(town_population[[#This Row],[Regional Planning Commission]],regional_population[Regional Planning Commission],0)))</f>
        <v>8.5390286904952734E-2</v>
      </c>
    </row>
    <row r="120" spans="1:5" ht="15.75" x14ac:dyDescent="0.25">
      <c r="A120" s="187" t="s">
        <v>328</v>
      </c>
      <c r="B120" s="187" t="s">
        <v>203</v>
      </c>
      <c r="C120" s="187">
        <v>1331</v>
      </c>
      <c r="D120" s="189">
        <f t="shared" si="1"/>
        <v>2.1248471419129692E-3</v>
      </c>
      <c r="E120" s="208">
        <f>town_population[[#This Row],[Pop Share of State]]/(INDEX(regional_population[Pop Share of State],MATCH(town_population[[#This Row],[Regional Planning Commission]],regional_population[Regional Planning Commission],0)))</f>
        <v>2.062286953827084E-2</v>
      </c>
    </row>
    <row r="121" spans="1:5" ht="15.75" x14ac:dyDescent="0.25">
      <c r="A121" s="187" t="s">
        <v>329</v>
      </c>
      <c r="B121" s="187" t="s">
        <v>203</v>
      </c>
      <c r="C121" s="187">
        <v>5966</v>
      </c>
      <c r="D121" s="189">
        <f t="shared" si="1"/>
        <v>9.5242960545851036E-3</v>
      </c>
      <c r="E121" s="208">
        <f>town_population[[#This Row],[Pop Share of State]]/(INDEX(regional_population[Pop Share of State],MATCH(town_population[[#This Row],[Regional Planning Commission]],regional_population[Regional Planning Commission],0)))</f>
        <v>9.2438797644871395E-2</v>
      </c>
    </row>
    <row r="122" spans="1:5" ht="15.75" x14ac:dyDescent="0.25">
      <c r="A122" s="187" t="s">
        <v>330</v>
      </c>
      <c r="B122" s="187" t="s">
        <v>203</v>
      </c>
      <c r="C122" s="187">
        <v>217</v>
      </c>
      <c r="D122" s="189">
        <f t="shared" si="1"/>
        <v>3.4642511629986045E-4</v>
      </c>
      <c r="E122" s="208">
        <f>town_population[[#This Row],[Pop Share of State]]/(INDEX(regional_population[Pop Share of State],MATCH(town_population[[#This Row],[Regional Planning Commission]],regional_population[Regional Planning Commission],0)))</f>
        <v>3.3622559652928415E-3</v>
      </c>
    </row>
    <row r="123" spans="1:5" ht="15.75" x14ac:dyDescent="0.25">
      <c r="A123" s="187" t="s">
        <v>331</v>
      </c>
      <c r="B123" s="187" t="s">
        <v>209</v>
      </c>
      <c r="C123" s="187">
        <v>4352</v>
      </c>
      <c r="D123" s="189">
        <f t="shared" si="1"/>
        <v>6.9476594752856807E-3</v>
      </c>
      <c r="E123" s="208">
        <f>town_population[[#This Row],[Pop Share of State]]/(INDEX(regional_population[Pop Share of State],MATCH(town_population[[#This Row],[Regional Planning Commission]],regional_population[Regional Planning Commission],0)))</f>
        <v>0.12359773934281901</v>
      </c>
    </row>
    <row r="124" spans="1:5" ht="15.75" x14ac:dyDescent="0.25">
      <c r="A124" s="187" t="s">
        <v>332</v>
      </c>
      <c r="B124" s="187" t="s">
        <v>211</v>
      </c>
      <c r="C124" s="187">
        <v>1196</v>
      </c>
      <c r="D124" s="189">
        <f t="shared" si="1"/>
        <v>1.9093292124176642E-3</v>
      </c>
      <c r="E124" s="208">
        <f>town_population[[#This Row],[Pop Share of State]]/(INDEX(regional_population[Pop Share of State],MATCH(town_population[[#This Row],[Regional Planning Commission]],regional_population[Regional Planning Commission],0)))</f>
        <v>2.5900900900900907E-2</v>
      </c>
    </row>
    <row r="125" spans="1:5" ht="15.75" x14ac:dyDescent="0.25">
      <c r="A125" s="187" t="s">
        <v>333</v>
      </c>
      <c r="B125" s="187" t="s">
        <v>219</v>
      </c>
      <c r="C125" s="187">
        <v>1724</v>
      </c>
      <c r="D125" s="189">
        <f t="shared" si="1"/>
        <v>2.7522437811104122E-3</v>
      </c>
      <c r="E125" s="208">
        <f>town_population[[#This Row],[Pop Share of State]]/(INDEX(regional_population[Pop Share of State],MATCH(town_population[[#This Row],[Regional Planning Commission]],regional_population[Regional Planning Commission],0)))</f>
        <v>2.658647544143727E-2</v>
      </c>
    </row>
    <row r="126" spans="1:5" ht="15.75" x14ac:dyDescent="0.25">
      <c r="A126" s="187" t="s">
        <v>334</v>
      </c>
      <c r="B126" s="187" t="s">
        <v>226</v>
      </c>
      <c r="C126" s="187">
        <v>862</v>
      </c>
      <c r="D126" s="189">
        <f t="shared" si="1"/>
        <v>1.3761218905552061E-3</v>
      </c>
      <c r="E126" s="208">
        <f>town_population[[#This Row],[Pop Share of State]]/(INDEX(regional_population[Pop Share of State],MATCH(town_population[[#This Row],[Regional Planning Commission]],regional_population[Regional Planning Commission],0)))</f>
        <v>1.4307766361810546E-2</v>
      </c>
    </row>
    <row r="127" spans="1:5" ht="15.75" x14ac:dyDescent="0.25">
      <c r="A127" s="187" t="s">
        <v>335</v>
      </c>
      <c r="B127" s="187" t="s">
        <v>201</v>
      </c>
      <c r="C127" s="187">
        <v>8505</v>
      </c>
      <c r="D127" s="189">
        <f t="shared" si="1"/>
        <v>1.3577629558204209E-2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336</v>
      </c>
      <c r="B128" s="187" t="s">
        <v>219</v>
      </c>
      <c r="C128" s="187">
        <v>1899</v>
      </c>
      <c r="D128" s="189">
        <f t="shared" si="1"/>
        <v>3.0316188749006222E-3</v>
      </c>
      <c r="E128" s="208">
        <f>town_population[[#This Row],[Pop Share of State]]/(INDEX(regional_population[Pop Share of State],MATCH(town_population[[#This Row],[Regional Planning Commission]],regional_population[Regional Planning Commission],0)))</f>
        <v>2.9285218598195693E-2</v>
      </c>
    </row>
    <row r="129" spans="1:5" ht="15.75" x14ac:dyDescent="0.25">
      <c r="A129" s="187" t="s">
        <v>337</v>
      </c>
      <c r="B129" s="187" t="s">
        <v>226</v>
      </c>
      <c r="C129" s="187">
        <v>731</v>
      </c>
      <c r="D129" s="189">
        <f t="shared" si="1"/>
        <v>1.1669896774893916E-3</v>
      </c>
      <c r="E129" s="208">
        <f>town_population[[#This Row],[Pop Share of State]]/(INDEX(regional_population[Pop Share of State],MATCH(town_population[[#This Row],[Regional Planning Commission]],regional_population[Regional Planning Commission],0)))</f>
        <v>1.2133384234899661E-2</v>
      </c>
    </row>
    <row r="130" spans="1:5" ht="15.75" x14ac:dyDescent="0.25">
      <c r="A130" s="187" t="s">
        <v>338</v>
      </c>
      <c r="B130" s="187" t="s">
        <v>232</v>
      </c>
      <c r="C130" s="187">
        <v>10533</v>
      </c>
      <c r="D130" s="189">
        <f t="shared" ref="D130:D193" si="2">C130/SUM($C$2:$C$256)</f>
        <v>1.6815187787955901E-2</v>
      </c>
      <c r="E130" s="208">
        <f>town_population[[#This Row],[Pop Share of State]]/(INDEX(regional_population[Pop Share of State],MATCH(town_population[[#This Row],[Regional Planning Commission]],regional_population[Regional Planning Commission],0)))</f>
        <v>6.637636590499478E-2</v>
      </c>
    </row>
    <row r="131" spans="1:5" ht="15.75" x14ac:dyDescent="0.25">
      <c r="A131" s="187" t="s">
        <v>339</v>
      </c>
      <c r="B131" s="187" t="s">
        <v>201</v>
      </c>
      <c r="C131" s="187">
        <v>2043</v>
      </c>
      <c r="D131" s="189">
        <f t="shared" si="2"/>
        <v>3.261504666362281E-3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340</v>
      </c>
      <c r="B132" s="187" t="s">
        <v>205</v>
      </c>
      <c r="C132" s="187">
        <v>1084</v>
      </c>
      <c r="D132" s="189">
        <f t="shared" si="2"/>
        <v>1.7305291523919298E-3</v>
      </c>
      <c r="E132" s="208">
        <f>town_population[[#This Row],[Pop Share of State]]/(INDEX(regional_population[Pop Share of State],MATCH(town_population[[#This Row],[Regional Planning Commission]],regional_population[Regional Planning Commission],0)))</f>
        <v>1.9635902545059328E-2</v>
      </c>
    </row>
    <row r="133" spans="1:5" ht="15.75" x14ac:dyDescent="0.25">
      <c r="A133" s="187" t="s">
        <v>341</v>
      </c>
      <c r="B133" s="187" t="s">
        <v>219</v>
      </c>
      <c r="C133" s="187">
        <v>7760</v>
      </c>
      <c r="D133" s="189">
        <f t="shared" si="2"/>
        <v>1.23882898732116E-2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342</v>
      </c>
      <c r="B134" s="187" t="s">
        <v>219</v>
      </c>
      <c r="C134" s="187">
        <v>1653</v>
      </c>
      <c r="D134" s="189">
        <f t="shared" si="2"/>
        <v>2.6388973144869554E-3</v>
      </c>
      <c r="E134" s="208">
        <f>town_population[[#This Row],[Pop Share of State]]/(INDEX(regional_population[Pop Share of State],MATCH(town_population[[#This Row],[Regional Planning Commission]],regional_population[Regional Planning Commission],0)))</f>
        <v>2.549155678926671E-2</v>
      </c>
    </row>
    <row r="135" spans="1:5" ht="15.75" x14ac:dyDescent="0.25">
      <c r="A135" s="187" t="s">
        <v>343</v>
      </c>
      <c r="B135" s="187" t="s">
        <v>203</v>
      </c>
      <c r="C135" s="187">
        <v>721</v>
      </c>
      <c r="D135" s="189">
        <f t="shared" si="2"/>
        <v>1.1510253864156655E-3</v>
      </c>
      <c r="E135" s="208">
        <f>town_population[[#This Row],[Pop Share of State]]/(INDEX(regional_population[Pop Share of State],MATCH(town_population[[#This Row],[Regional Planning Commission]],regional_population[Regional Planning Commission],0)))</f>
        <v>1.1171366594360087E-2</v>
      </c>
    </row>
    <row r="136" spans="1:5" ht="15.75" x14ac:dyDescent="0.25">
      <c r="A136" s="187" t="s">
        <v>344</v>
      </c>
      <c r="B136" s="187" t="s">
        <v>223</v>
      </c>
      <c r="C136" s="187">
        <v>5314</v>
      </c>
      <c r="D136" s="189">
        <f t="shared" si="2"/>
        <v>8.4834242765781508E-3</v>
      </c>
      <c r="E136" s="208">
        <f>town_population[[#This Row],[Pop Share of State]]/(INDEX(regional_population[Pop Share of State],MATCH(town_population[[#This Row],[Regional Planning Commission]],regional_population[Regional Planning Commission],0)))</f>
        <v>0.21390331280441169</v>
      </c>
    </row>
    <row r="137" spans="1:5" ht="15.75" x14ac:dyDescent="0.25">
      <c r="A137" s="187" t="s">
        <v>345</v>
      </c>
      <c r="B137" s="187" t="s">
        <v>226</v>
      </c>
      <c r="C137" s="187">
        <v>1258</v>
      </c>
      <c r="D137" s="189">
        <f t="shared" si="2"/>
        <v>2.0083078170747672E-3</v>
      </c>
      <c r="E137" s="208">
        <f>town_population[[#This Row],[Pop Share of State]]/(INDEX(regional_population[Pop Share of State],MATCH(town_population[[#This Row],[Regional Planning Commission]],regional_population[Regional Planning Commission],0)))</f>
        <v>2.0880707753083139E-2</v>
      </c>
    </row>
    <row r="138" spans="1:5" ht="15.75" x14ac:dyDescent="0.25">
      <c r="A138" s="187" t="s">
        <v>346</v>
      </c>
      <c r="B138" s="187" t="s">
        <v>226</v>
      </c>
      <c r="C138" s="187">
        <v>271</v>
      </c>
      <c r="D138" s="189">
        <f t="shared" si="2"/>
        <v>4.3263228809798244E-4</v>
      </c>
      <c r="E138" s="208">
        <f>town_population[[#This Row],[Pop Share of State]]/(INDEX(regional_population[Pop Share of State],MATCH(town_population[[#This Row],[Regional Planning Commission]],regional_population[Regional Planning Commission],0)))</f>
        <v>4.4981492854415982E-3</v>
      </c>
    </row>
    <row r="139" spans="1:5" ht="15.75" x14ac:dyDescent="0.25">
      <c r="A139" s="187" t="s">
        <v>347</v>
      </c>
      <c r="B139" s="187" t="s">
        <v>201</v>
      </c>
      <c r="C139" s="187">
        <v>1648</v>
      </c>
      <c r="D139" s="189">
        <f t="shared" si="2"/>
        <v>2.6309151689500924E-3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348</v>
      </c>
      <c r="B140" s="187" t="s">
        <v>203</v>
      </c>
      <c r="C140" s="187">
        <v>534</v>
      </c>
      <c r="D140" s="189">
        <f t="shared" si="2"/>
        <v>8.5249314333698384E-4</v>
      </c>
      <c r="E140" s="208">
        <f>town_population[[#This Row],[Pop Share of State]]/(INDEX(regional_population[Pop Share of State],MATCH(town_population[[#This Row],[Regional Planning Commission]],regional_population[Regional Planning Commission],0)))</f>
        <v>8.2739386427022003E-3</v>
      </c>
    </row>
    <row r="141" spans="1:5" ht="15.75" x14ac:dyDescent="0.25">
      <c r="A141" s="187" t="s">
        <v>349</v>
      </c>
      <c r="B141" s="187" t="s">
        <v>216</v>
      </c>
      <c r="C141" s="187">
        <v>2155</v>
      </c>
      <c r="D141" s="189">
        <f t="shared" si="2"/>
        <v>3.4403047263880152E-3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350</v>
      </c>
      <c r="B142" s="187" t="s">
        <v>211</v>
      </c>
      <c r="C142" s="187">
        <v>1819</v>
      </c>
      <c r="D142" s="189">
        <f t="shared" si="2"/>
        <v>2.9039045463108118E-3</v>
      </c>
      <c r="E142" s="208">
        <f>town_population[[#This Row],[Pop Share of State]]/(INDEX(regional_population[Pop Share of State],MATCH(town_population[[#This Row],[Regional Planning Commission]],regional_population[Regional Planning Commission],0)))</f>
        <v>3.9392758142758152E-2</v>
      </c>
    </row>
    <row r="143" spans="1:5" ht="15.75" x14ac:dyDescent="0.25">
      <c r="A143" s="187" t="s">
        <v>352</v>
      </c>
      <c r="B143" s="187" t="s">
        <v>203</v>
      </c>
      <c r="C143" s="187">
        <v>1764</v>
      </c>
      <c r="D143" s="189">
        <f t="shared" si="2"/>
        <v>2.8161009454053176E-3</v>
      </c>
      <c r="E143" s="208">
        <f>town_population[[#This Row],[Pop Share of State]]/(INDEX(regional_population[Pop Share of State],MATCH(town_population[[#This Row],[Regional Planning Commission]],regional_population[Regional Planning Commission],0)))</f>
        <v>2.733188720173536E-2</v>
      </c>
    </row>
    <row r="144" spans="1:5" ht="15.75" x14ac:dyDescent="0.25">
      <c r="A144" s="187" t="s">
        <v>351</v>
      </c>
      <c r="B144" s="187" t="s">
        <v>203</v>
      </c>
      <c r="C144" s="187">
        <v>4535</v>
      </c>
      <c r="D144" s="189">
        <f t="shared" si="2"/>
        <v>7.2398060019348721E-3</v>
      </c>
      <c r="E144" s="208">
        <f>town_population[[#This Row],[Pop Share of State]]/(INDEX(regional_population[Pop Share of State],MATCH(town_population[[#This Row],[Regional Planning Commission]],regional_population[Regional Planning Commission],0)))</f>
        <v>7.0266501394484038E-2</v>
      </c>
    </row>
    <row r="145" spans="1:5" ht="15.75" x14ac:dyDescent="0.25">
      <c r="A145" s="187" t="s">
        <v>353</v>
      </c>
      <c r="B145" s="187" t="s">
        <v>205</v>
      </c>
      <c r="C145" s="187">
        <v>939</v>
      </c>
      <c r="D145" s="189">
        <f t="shared" si="2"/>
        <v>1.4990469318228985E-3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354</v>
      </c>
      <c r="B146" s="187" t="s">
        <v>219</v>
      </c>
      <c r="C146" s="187">
        <v>6175</v>
      </c>
      <c r="D146" s="189">
        <f t="shared" si="2"/>
        <v>9.8579497380259836E-3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355</v>
      </c>
      <c r="B147" s="187" t="s">
        <v>203</v>
      </c>
      <c r="C147" s="187">
        <v>161</v>
      </c>
      <c r="D147" s="189">
        <f t="shared" si="2"/>
        <v>2.5702508628699326E-4</v>
      </c>
      <c r="E147" s="208">
        <f>town_population[[#This Row],[Pop Share of State]]/(INDEX(regional_population[Pop Share of State],MATCH(town_population[[#This Row],[Regional Planning Commission]],regional_population[Regional Planning Commission],0)))</f>
        <v>2.4945770065075922E-3</v>
      </c>
    </row>
    <row r="148" spans="1:5" ht="15.75" x14ac:dyDescent="0.25">
      <c r="A148" s="187" t="s">
        <v>356</v>
      </c>
      <c r="B148" s="187" t="s">
        <v>216</v>
      </c>
      <c r="C148" s="187">
        <v>3400</v>
      </c>
      <c r="D148" s="189">
        <f t="shared" si="2"/>
        <v>5.4278589650669385E-3</v>
      </c>
      <c r="E148" s="208">
        <f>town_population[[#This Row],[Pop Share of State]]/(INDEX(regional_population[Pop Share of State],MATCH(town_population[[#This Row],[Regional Planning Commission]],regional_population[Regional Planning Commission],0)))</f>
        <v>6.1251328613378009E-2</v>
      </c>
    </row>
    <row r="149" spans="1:5" ht="15.75" x14ac:dyDescent="0.25">
      <c r="A149" s="187" t="s">
        <v>357</v>
      </c>
      <c r="B149" s="187" t="s">
        <v>219</v>
      </c>
      <c r="C149" s="187">
        <v>1048</v>
      </c>
      <c r="D149" s="189">
        <f t="shared" si="2"/>
        <v>1.6730577045265152E-3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358</v>
      </c>
      <c r="B150" s="187" t="s">
        <v>201</v>
      </c>
      <c r="C150" s="187">
        <v>1242</v>
      </c>
      <c r="D150" s="189">
        <f t="shared" si="2"/>
        <v>1.9827649513568051E-3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359</v>
      </c>
      <c r="B151" s="187" t="s">
        <v>201</v>
      </c>
      <c r="C151" s="187">
        <v>740</v>
      </c>
      <c r="D151" s="189">
        <f t="shared" si="2"/>
        <v>1.1813575394557453E-3</v>
      </c>
      <c r="E151" s="208">
        <f>town_population[[#This Row],[Pop Share of State]]/(INDEX(regional_population[Pop Share of State],MATCH(town_population[[#This Row],[Regional Planning Commission]],regional_population[Regional Planning Commission],0)))</f>
        <v>2.0453289110005528E-2</v>
      </c>
    </row>
    <row r="152" spans="1:5" ht="15.75" x14ac:dyDescent="0.25">
      <c r="A152" s="187" t="s">
        <v>360</v>
      </c>
      <c r="B152" s="187" t="s">
        <v>226</v>
      </c>
      <c r="C152" s="187">
        <v>1440</v>
      </c>
      <c r="D152" s="189">
        <f t="shared" si="2"/>
        <v>2.2988579146165857E-3</v>
      </c>
      <c r="E152" s="208">
        <f>town_population[[#This Row],[Pop Share of State]]/(INDEX(regional_population[Pop Share of State],MATCH(town_population[[#This Row],[Regional Planning Commission]],regional_population[Regional Planning Commission],0)))</f>
        <v>2.3901605059173069E-2</v>
      </c>
    </row>
    <row r="153" spans="1:5" ht="15.75" x14ac:dyDescent="0.25">
      <c r="A153" s="187" t="s">
        <v>361</v>
      </c>
      <c r="B153" s="187" t="s">
        <v>203</v>
      </c>
      <c r="C153" s="187">
        <v>695</v>
      </c>
      <c r="D153" s="189">
        <f t="shared" si="2"/>
        <v>1.109518229623977E-3</v>
      </c>
      <c r="E153" s="208">
        <f>town_population[[#This Row],[Pop Share of State]]/(INDEX(regional_population[Pop Share of State],MATCH(town_population[[#This Row],[Regional Planning Commission]],regional_population[Regional Planning Commission],0)))</f>
        <v>1.0768515649209791E-2</v>
      </c>
    </row>
    <row r="154" spans="1:5" ht="15.75" x14ac:dyDescent="0.25">
      <c r="A154" s="187" t="s">
        <v>362</v>
      </c>
      <c r="B154" s="187" t="s">
        <v>209</v>
      </c>
      <c r="C154" s="187">
        <v>348</v>
      </c>
      <c r="D154" s="189">
        <f t="shared" si="2"/>
        <v>5.5555732936567485E-4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363</v>
      </c>
      <c r="B155" s="187" t="s">
        <v>216</v>
      </c>
      <c r="C155" s="187">
        <v>617</v>
      </c>
      <c r="D155" s="189">
        <f t="shared" si="2"/>
        <v>9.8499675924891214E-4</v>
      </c>
      <c r="E155" s="208">
        <f>town_population[[#This Row],[Pop Share of State]]/(INDEX(regional_population[Pop Share of State],MATCH(town_population[[#This Row],[Regional Planning Commission]],regional_population[Regional Planning Commission],0)))</f>
        <v>1.111531463366301E-2</v>
      </c>
    </row>
    <row r="156" spans="1:5" ht="15.75" x14ac:dyDescent="0.25">
      <c r="A156" s="187" t="s">
        <v>364</v>
      </c>
      <c r="B156" s="187" t="s">
        <v>226</v>
      </c>
      <c r="C156" s="187">
        <v>2940</v>
      </c>
      <c r="D156" s="189">
        <f t="shared" si="2"/>
        <v>4.693501575675529E-3</v>
      </c>
      <c r="E156" s="208">
        <f>town_population[[#This Row],[Pop Share of State]]/(INDEX(regional_population[Pop Share of State],MATCH(town_population[[#This Row],[Regional Planning Commission]],regional_population[Regional Planning Commission],0)))</f>
        <v>4.8799110329145017E-2</v>
      </c>
    </row>
    <row r="157" spans="1:5" ht="15.75" x14ac:dyDescent="0.25">
      <c r="A157" s="187" t="s">
        <v>365</v>
      </c>
      <c r="B157" s="187" t="s">
        <v>219</v>
      </c>
      <c r="C157" s="187">
        <v>1304</v>
      </c>
      <c r="D157" s="189">
        <f t="shared" si="2"/>
        <v>2.0817435560139081E-3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366</v>
      </c>
      <c r="B158" s="187" t="s">
        <v>216</v>
      </c>
      <c r="C158" s="187">
        <v>471</v>
      </c>
      <c r="D158" s="189">
        <f t="shared" si="2"/>
        <v>7.5191810957250826E-4</v>
      </c>
      <c r="E158" s="208">
        <f>town_population[[#This Row],[Pop Share of State]]/(INDEX(regional_population[Pop Share of State],MATCH(town_population[[#This Row],[Regional Planning Commission]],regional_population[Regional Planning Commission],0)))</f>
        <v>8.4851105226179547E-3</v>
      </c>
    </row>
    <row r="159" spans="1:5" ht="15.75" x14ac:dyDescent="0.25">
      <c r="A159" s="187" t="s">
        <v>367</v>
      </c>
      <c r="B159" s="187" t="s">
        <v>216</v>
      </c>
      <c r="C159" s="187">
        <v>963</v>
      </c>
      <c r="D159" s="189">
        <f t="shared" si="2"/>
        <v>1.5373612303998417E-3</v>
      </c>
      <c r="E159" s="208">
        <f>town_population[[#This Row],[Pop Share of State]]/(INDEX(regional_population[Pop Share of State],MATCH(town_population[[#This Row],[Regional Planning Commission]],regional_population[Regional Planning Commission],0)))</f>
        <v>1.7348538074906772E-2</v>
      </c>
    </row>
    <row r="160" spans="1:5" ht="15.75" x14ac:dyDescent="0.25">
      <c r="A160" s="187" t="s">
        <v>368</v>
      </c>
      <c r="B160" s="187" t="s">
        <v>226</v>
      </c>
      <c r="C160" s="187">
        <v>3382</v>
      </c>
      <c r="D160" s="189">
        <f t="shared" si="2"/>
        <v>5.3991232411342311E-3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369</v>
      </c>
      <c r="B161" s="187" t="s">
        <v>209</v>
      </c>
      <c r="C161" s="187">
        <v>3495</v>
      </c>
      <c r="D161" s="189">
        <f t="shared" si="2"/>
        <v>5.5795197302673377E-3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370</v>
      </c>
      <c r="B162" s="187" t="s">
        <v>226</v>
      </c>
      <c r="C162" s="187">
        <v>1650</v>
      </c>
      <c r="D162" s="189">
        <f t="shared" si="2"/>
        <v>2.6341080271648377E-3</v>
      </c>
      <c r="E162" s="208">
        <f>town_population[[#This Row],[Pop Share of State]]/(INDEX(regional_population[Pop Share of State],MATCH(town_population[[#This Row],[Regional Planning Commission]],regional_population[Regional Planning Commission],0)))</f>
        <v>2.7387255796969143E-2</v>
      </c>
    </row>
    <row r="163" spans="1:5" ht="15.75" x14ac:dyDescent="0.25">
      <c r="A163" s="187" t="s">
        <v>371</v>
      </c>
      <c r="B163" s="187" t="s">
        <v>211</v>
      </c>
      <c r="C163" s="187">
        <v>2696</v>
      </c>
      <c r="D163" s="189">
        <f t="shared" si="2"/>
        <v>4.3039728734766075E-3</v>
      </c>
      <c r="E163" s="208">
        <f>town_population[[#This Row],[Pop Share of State]]/(INDEX(regional_population[Pop Share of State],MATCH(town_population[[#This Row],[Regional Planning Commission]],regional_population[Regional Planning Commission],0)))</f>
        <v>5.83853083853084E-2</v>
      </c>
    </row>
    <row r="164" spans="1:5" ht="15.75" x14ac:dyDescent="0.25">
      <c r="A164" s="187" t="s">
        <v>372</v>
      </c>
      <c r="B164" s="187" t="s">
        <v>216</v>
      </c>
      <c r="C164" s="187">
        <v>4768</v>
      </c>
      <c r="D164" s="189">
        <f t="shared" si="2"/>
        <v>7.611773983952695E-3</v>
      </c>
      <c r="E164" s="208">
        <f>town_population[[#This Row],[Pop Share of State]]/(INDEX(regional_population[Pop Share of State],MATCH(town_population[[#This Row],[Regional Planning Commission]],regional_population[Regional Planning Commission],0)))</f>
        <v>8.5895980831937169E-2</v>
      </c>
    </row>
    <row r="165" spans="1:5" ht="15.75" x14ac:dyDescent="0.25">
      <c r="A165" s="187" t="s">
        <v>373</v>
      </c>
      <c r="B165" s="187" t="s">
        <v>207</v>
      </c>
      <c r="C165" s="187">
        <v>739</v>
      </c>
      <c r="D165" s="189">
        <f t="shared" si="2"/>
        <v>1.1797611103483727E-3</v>
      </c>
      <c r="E165" s="208">
        <f>town_population[[#This Row],[Pop Share of State]]/(INDEX(regional_population[Pop Share of State],MATCH(town_population[[#This Row],[Regional Planning Commission]],regional_population[Regional Planning Commission],0)))</f>
        <v>2.9612117326494634E-2</v>
      </c>
    </row>
    <row r="166" spans="1:5" ht="15.75" x14ac:dyDescent="0.25">
      <c r="A166" s="187" t="s">
        <v>374</v>
      </c>
      <c r="B166" s="187" t="s">
        <v>211</v>
      </c>
      <c r="C166" s="187">
        <v>777</v>
      </c>
      <c r="D166" s="189">
        <f t="shared" si="2"/>
        <v>1.2404254164285326E-3</v>
      </c>
      <c r="E166" s="208">
        <f>town_population[[#This Row],[Pop Share of State]]/(INDEX(regional_population[Pop Share of State],MATCH(town_population[[#This Row],[Regional Planning Commission]],regional_population[Regional Planning Commission],0)))</f>
        <v>1.682692307692308E-2</v>
      </c>
    </row>
    <row r="167" spans="1:5" ht="15.75" x14ac:dyDescent="0.25">
      <c r="A167" s="187" t="s">
        <v>375</v>
      </c>
      <c r="B167" s="187" t="s">
        <v>205</v>
      </c>
      <c r="C167" s="187">
        <v>2329</v>
      </c>
      <c r="D167" s="189">
        <f t="shared" si="2"/>
        <v>3.7180833910708528E-3</v>
      </c>
      <c r="E167" s="208">
        <f>town_population[[#This Row],[Pop Share of State]]/(INDEX(regional_population[Pop Share of State],MATCH(town_population[[#This Row],[Regional Planning Commission]],regional_population[Regional Planning Commission],0)))</f>
        <v>4.2188207589892224E-2</v>
      </c>
    </row>
    <row r="168" spans="1:5" ht="15.75" x14ac:dyDescent="0.25">
      <c r="A168" s="187" t="s">
        <v>376</v>
      </c>
      <c r="B168" s="187" t="s">
        <v>232</v>
      </c>
      <c r="C168" s="187">
        <v>4114</v>
      </c>
      <c r="D168" s="189">
        <f t="shared" si="2"/>
        <v>6.5677093477309956E-3</v>
      </c>
      <c r="E168" s="208">
        <f>town_population[[#This Row],[Pop Share of State]]/(INDEX(regional_population[Pop Share of State],MATCH(town_population[[#This Row],[Regional Planning Commission]],regional_population[Regional Planning Commission],0)))</f>
        <v>2.5925412449743522E-2</v>
      </c>
    </row>
    <row r="169" spans="1:5" ht="15.75" x14ac:dyDescent="0.25">
      <c r="A169" s="187" t="s">
        <v>377</v>
      </c>
      <c r="B169" s="187" t="s">
        <v>201</v>
      </c>
      <c r="C169" s="187">
        <v>650</v>
      </c>
      <c r="D169" s="189">
        <f t="shared" si="2"/>
        <v>1.0376789197922088E-3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378</v>
      </c>
      <c r="B170" s="187" t="s">
        <v>216</v>
      </c>
      <c r="C170" s="187">
        <v>1095</v>
      </c>
      <c r="D170" s="189">
        <f t="shared" si="2"/>
        <v>1.7480898725730286E-3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379</v>
      </c>
      <c r="B171" s="187" t="s">
        <v>211</v>
      </c>
      <c r="C171" s="187">
        <v>5190</v>
      </c>
      <c r="D171" s="189">
        <f t="shared" si="2"/>
        <v>8.2854670672639439E-3</v>
      </c>
      <c r="E171" s="208">
        <f>town_population[[#This Row],[Pop Share of State]]/(INDEX(regional_population[Pop Share of State],MATCH(town_population[[#This Row],[Regional Planning Commission]],regional_population[Regional Planning Commission],0)))</f>
        <v>0.11239604989604993</v>
      </c>
    </row>
    <row r="172" spans="1:5" ht="15.75" x14ac:dyDescent="0.25">
      <c r="A172" s="187" t="s">
        <v>380</v>
      </c>
      <c r="B172" s="187" t="s">
        <v>219</v>
      </c>
      <c r="C172" s="187">
        <v>684</v>
      </c>
      <c r="D172" s="189">
        <f t="shared" si="2"/>
        <v>1.0919575094428782E-3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381</v>
      </c>
      <c r="B173" s="187" t="s">
        <v>216</v>
      </c>
      <c r="C173" s="187">
        <v>2778</v>
      </c>
      <c r="D173" s="189">
        <f t="shared" si="2"/>
        <v>4.4348800602811633E-3</v>
      </c>
      <c r="E173" s="208">
        <f>town_population[[#This Row],[Pop Share of State]]/(INDEX(regional_population[Pop Share of State],MATCH(town_population[[#This Row],[Regional Planning Commission]],regional_population[Regional Planning Commission],0)))</f>
        <v>5.0045938496460031E-2</v>
      </c>
    </row>
    <row r="174" spans="1:5" ht="15.75" x14ac:dyDescent="0.25">
      <c r="A174" s="187" t="s">
        <v>382</v>
      </c>
      <c r="B174" s="187" t="s">
        <v>209</v>
      </c>
      <c r="C174" s="187">
        <v>620</v>
      </c>
      <c r="D174" s="189">
        <f t="shared" si="2"/>
        <v>9.897860465710299E-4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383</v>
      </c>
      <c r="B175" s="187" t="s">
        <v>226</v>
      </c>
      <c r="C175" s="187">
        <v>16217</v>
      </c>
      <c r="D175" s="189">
        <f t="shared" si="2"/>
        <v>2.5889290834261922E-2</v>
      </c>
      <c r="E175" s="208">
        <f>town_population[[#This Row],[Pop Share of State]]/(INDEX(regional_population[Pop Share of State],MATCH(town_population[[#This Row],[Regional Planning Commission]],regional_population[Regional Planning Commission],0)))</f>
        <v>0.26917522864209004</v>
      </c>
    </row>
    <row r="176" spans="1:5" ht="15.75" x14ac:dyDescent="0.25">
      <c r="A176" s="187" t="s">
        <v>384</v>
      </c>
      <c r="B176" s="187" t="s">
        <v>226</v>
      </c>
      <c r="C176" s="187">
        <v>4048</v>
      </c>
      <c r="D176" s="189">
        <f t="shared" si="2"/>
        <v>6.4623450266444015E-3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385</v>
      </c>
      <c r="B177" s="187" t="s">
        <v>203</v>
      </c>
      <c r="C177" s="187">
        <v>1118</v>
      </c>
      <c r="D177" s="189">
        <f t="shared" si="2"/>
        <v>1.784807742042599E-3</v>
      </c>
      <c r="E177" s="208">
        <f>town_population[[#This Row],[Pop Share of State]]/(INDEX(regional_population[Pop Share of State],MATCH(town_population[[#This Row],[Regional Planning Commission]],regional_population[Regional Planning Commission],0)))</f>
        <v>1.7322590641462656E-2</v>
      </c>
    </row>
    <row r="178" spans="1:5" ht="15.75" x14ac:dyDescent="0.25">
      <c r="A178" s="187" t="s">
        <v>400</v>
      </c>
      <c r="B178" s="187" t="s">
        <v>205</v>
      </c>
      <c r="C178" s="187">
        <v>6157</v>
      </c>
      <c r="D178" s="189">
        <f t="shared" si="2"/>
        <v>9.8292140140932762E-3</v>
      </c>
      <c r="E178" s="208">
        <f>town_population[[#This Row],[Pop Share of State]]/(INDEX(regional_population[Pop Share of State],MATCH(town_population[[#This Row],[Regional Planning Commission]],regional_population[Regional Planning Commission],0)))</f>
        <v>0.11152975273978807</v>
      </c>
    </row>
    <row r="179" spans="1:5" ht="15.75" x14ac:dyDescent="0.25">
      <c r="A179" s="187" t="s">
        <v>508</v>
      </c>
      <c r="B179" s="187" t="s">
        <v>205</v>
      </c>
      <c r="C179" s="187">
        <v>6889</v>
      </c>
      <c r="D179" s="189">
        <f t="shared" si="2"/>
        <v>1.099780012069004E-2</v>
      </c>
      <c r="E179" s="208">
        <f>town_population[[#This Row],[Pop Share of State]]/(INDEX(regional_population[Pop Share of State],MATCH(town_population[[#This Row],[Regional Planning Commission]],regional_population[Regional Planning Commission],0)))</f>
        <v>0.12478942124807536</v>
      </c>
    </row>
    <row r="180" spans="1:5" ht="15.75" x14ac:dyDescent="0.25">
      <c r="A180" s="187" t="s">
        <v>401</v>
      </c>
      <c r="B180" s="187" t="s">
        <v>232</v>
      </c>
      <c r="C180" s="187">
        <v>772</v>
      </c>
      <c r="D180" s="189">
        <f t="shared" si="2"/>
        <v>1.2324432708916695E-3</v>
      </c>
      <c r="E180" s="208">
        <f>town_population[[#This Row],[Pop Share of State]]/(INDEX(regional_population[Pop Share of State],MATCH(town_population[[#This Row],[Regional Planning Commission]],regional_population[Regional Planning Commission],0)))</f>
        <v>4.8649534300442389E-3</v>
      </c>
    </row>
    <row r="181" spans="1:5" ht="15.75" x14ac:dyDescent="0.25">
      <c r="A181" s="187" t="s">
        <v>402</v>
      </c>
      <c r="B181" s="187" t="s">
        <v>203</v>
      </c>
      <c r="C181" s="187">
        <v>7573</v>
      </c>
      <c r="D181" s="189">
        <f t="shared" si="2"/>
        <v>1.2089757630132919E-2</v>
      </c>
      <c r="E181" s="208">
        <f>town_population[[#This Row],[Pop Share of State]]/(INDEX(regional_population[Pop Share of State],MATCH(town_population[[#This Row],[Regional Planning Commission]],regional_population[Regional Planning Commission],0)))</f>
        <v>0.11733808490858383</v>
      </c>
    </row>
    <row r="182" spans="1:5" ht="15.75" x14ac:dyDescent="0.25">
      <c r="A182" s="187" t="s">
        <v>386</v>
      </c>
      <c r="B182" s="187" t="s">
        <v>201</v>
      </c>
      <c r="C182" s="187">
        <v>1142</v>
      </c>
      <c r="D182" s="189">
        <f t="shared" si="2"/>
        <v>1.8231220406195422E-3</v>
      </c>
      <c r="E182" s="208">
        <f>town_population[[#This Row],[Pop Share of State]]/(INDEX(regional_population[Pop Share of State],MATCH(town_population[[#This Row],[Regional Planning Commission]],regional_population[Regional Planning Commission],0)))</f>
        <v>3.1564400221116638E-2</v>
      </c>
    </row>
    <row r="183" spans="1:5" ht="15.75" x14ac:dyDescent="0.25">
      <c r="A183" s="187" t="s">
        <v>387</v>
      </c>
      <c r="B183" s="187" t="s">
        <v>209</v>
      </c>
      <c r="C183" s="187">
        <v>516</v>
      </c>
      <c r="D183" s="189">
        <f t="shared" si="2"/>
        <v>8.2375741940427655E-4</v>
      </c>
      <c r="E183" s="208">
        <f>town_population[[#This Row],[Pop Share of State]]/(INDEX(regional_population[Pop Share of State],MATCH(town_population[[#This Row],[Regional Planning Commission]],regional_population[Regional Planning Commission],0)))</f>
        <v>1.4654511374286446E-2</v>
      </c>
    </row>
    <row r="184" spans="1:5" ht="15.75" x14ac:dyDescent="0.25">
      <c r="A184" s="187" t="s">
        <v>388</v>
      </c>
      <c r="B184" s="187" t="s">
        <v>211</v>
      </c>
      <c r="C184" s="187">
        <v>97</v>
      </c>
      <c r="D184" s="189">
        <f t="shared" si="2"/>
        <v>1.5485362341514502E-4</v>
      </c>
      <c r="E184" s="208">
        <f>town_population[[#This Row],[Pop Share of State]]/(INDEX(regional_population[Pop Share of State],MATCH(town_population[[#This Row],[Regional Planning Commission]],regional_population[Regional Planning Commission],0)))</f>
        <v>2.1006583506583514E-3</v>
      </c>
    </row>
    <row r="185" spans="1:5" ht="15.75" x14ac:dyDescent="0.25">
      <c r="A185" s="187" t="s">
        <v>389</v>
      </c>
      <c r="B185" s="187" t="s">
        <v>209</v>
      </c>
      <c r="C185" s="187">
        <v>3558</v>
      </c>
      <c r="D185" s="189">
        <f t="shared" si="2"/>
        <v>5.6800947640318136E-3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390</v>
      </c>
      <c r="B186" s="187" t="s">
        <v>216</v>
      </c>
      <c r="C186" s="187">
        <v>1521</v>
      </c>
      <c r="D186" s="189">
        <f t="shared" si="2"/>
        <v>2.4281686723137685E-3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391</v>
      </c>
      <c r="B187" s="187" t="s">
        <v>203</v>
      </c>
      <c r="C187" s="187">
        <v>568</v>
      </c>
      <c r="D187" s="189">
        <f t="shared" si="2"/>
        <v>9.0677173298765322E-4</v>
      </c>
      <c r="E187" s="208">
        <f>town_population[[#This Row],[Pop Share of State]]/(INDEX(regional_population[Pop Share of State],MATCH(town_population[[#This Row],[Regional Planning Commission]],regional_population[Regional Planning Commission],0)))</f>
        <v>8.8007437248218152E-3</v>
      </c>
    </row>
    <row r="188" spans="1:5" ht="15.75" x14ac:dyDescent="0.25">
      <c r="A188" s="187" t="s">
        <v>392</v>
      </c>
      <c r="B188" s="187" t="s">
        <v>232</v>
      </c>
      <c r="C188" s="187">
        <v>7452</v>
      </c>
      <c r="D188" s="189">
        <f t="shared" si="2"/>
        <v>1.189658970814083E-2</v>
      </c>
      <c r="E188" s="208">
        <f>town_population[[#This Row],[Pop Share of State]]/(INDEX(regional_population[Pop Share of State],MATCH(town_population[[#This Row],[Regional Planning Commission]],regional_population[Regional Planning Commission],0)))</f>
        <v>4.6960664456851896E-2</v>
      </c>
    </row>
    <row r="189" spans="1:5" ht="15.75" x14ac:dyDescent="0.25">
      <c r="A189" s="187" t="s">
        <v>393</v>
      </c>
      <c r="B189" s="187" t="s">
        <v>205</v>
      </c>
      <c r="C189" s="187">
        <v>2329</v>
      </c>
      <c r="D189" s="189">
        <f t="shared" si="2"/>
        <v>3.7180833910708528E-3</v>
      </c>
      <c r="E189" s="208">
        <f>town_population[[#This Row],[Pop Share of State]]/(INDEX(regional_population[Pop Share of State],MATCH(town_population[[#This Row],[Regional Planning Commission]],regional_population[Regional Planning Commission],0)))</f>
        <v>4.2188207589892224E-2</v>
      </c>
    </row>
    <row r="190" spans="1:5" ht="15.75" x14ac:dyDescent="0.25">
      <c r="A190" s="187" t="s">
        <v>394</v>
      </c>
      <c r="B190" s="187" t="s">
        <v>201</v>
      </c>
      <c r="C190" s="187">
        <v>1179</v>
      </c>
      <c r="D190" s="189">
        <f t="shared" si="2"/>
        <v>1.8821899175923294E-3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395</v>
      </c>
      <c r="B191" s="187" t="s">
        <v>226</v>
      </c>
      <c r="C191" s="187">
        <v>1158</v>
      </c>
      <c r="D191" s="189">
        <f t="shared" si="2"/>
        <v>1.8486649063375043E-3</v>
      </c>
      <c r="E191" s="208">
        <f>town_population[[#This Row],[Pop Share of State]]/(INDEX(regional_population[Pop Share of State],MATCH(town_population[[#This Row],[Regional Planning Commission]],regional_population[Regional Planning Commission],0)))</f>
        <v>1.9220874068418343E-2</v>
      </c>
    </row>
    <row r="192" spans="1:5" ht="15.75" x14ac:dyDescent="0.25">
      <c r="A192" s="187" t="s">
        <v>396</v>
      </c>
      <c r="B192" s="187" t="s">
        <v>211</v>
      </c>
      <c r="C192" s="187">
        <v>7</v>
      </c>
      <c r="D192" s="189">
        <f t="shared" si="2"/>
        <v>1.1175003751608403E-5</v>
      </c>
      <c r="E192" s="208">
        <f>town_population[[#This Row],[Pop Share of State]]/(INDEX(regional_population[Pop Share of State],MATCH(town_population[[#This Row],[Regional Planning Commission]],regional_population[Regional Planning Commission],0)))</f>
        <v>1.5159390159390164E-4</v>
      </c>
    </row>
    <row r="193" spans="1:5" ht="15.75" x14ac:dyDescent="0.25">
      <c r="A193" s="187" t="s">
        <v>397</v>
      </c>
      <c r="B193" s="187" t="s">
        <v>232</v>
      </c>
      <c r="C193" s="187">
        <v>18378</v>
      </c>
      <c r="D193" s="189">
        <f t="shared" si="2"/>
        <v>2.9339174135294174E-2</v>
      </c>
      <c r="E193" s="208">
        <f>town_population[[#This Row],[Pop Share of State]]/(INDEX(regional_population[Pop Share of State],MATCH(town_population[[#This Row],[Regional Planning Commission]],regional_population[Regional Planning Commission],0)))</f>
        <v>0.11581361934890287</v>
      </c>
    </row>
    <row r="194" spans="1:5" ht="15.75" x14ac:dyDescent="0.25">
      <c r="A194" s="187" t="s">
        <v>398</v>
      </c>
      <c r="B194" s="187" t="s">
        <v>205</v>
      </c>
      <c r="C194" s="187">
        <v>1576</v>
      </c>
      <c r="D194" s="189">
        <f t="shared" ref="D194:D256" si="3">C194/SUM($C$2:$C$256)</f>
        <v>2.5159722732192632E-3</v>
      </c>
      <c r="E194" s="208">
        <f>town_population[[#This Row],[Pop Share of State]]/(INDEX(regional_population[Pop Share of State],MATCH(town_population[[#This Row],[Regional Planning Commission]],regional_population[Regional Planning Commission],0)))</f>
        <v>2.8548138755547507E-2</v>
      </c>
    </row>
    <row r="195" spans="1:5" ht="15.75" x14ac:dyDescent="0.25">
      <c r="A195" s="187" t="s">
        <v>399</v>
      </c>
      <c r="B195" s="187" t="s">
        <v>207</v>
      </c>
      <c r="C195" s="187">
        <v>9301</v>
      </c>
      <c r="D195" s="189">
        <f t="shared" si="3"/>
        <v>1.4848387127672821E-2</v>
      </c>
      <c r="E195" s="208">
        <f>town_population[[#This Row],[Pop Share of State]]/(INDEX(regional_population[Pop Share of State],MATCH(town_population[[#This Row],[Regional Planning Commission]],regional_population[Regional Planning Commission],0)))</f>
        <v>0.37269594486295887</v>
      </c>
    </row>
    <row r="196" spans="1:5" ht="15.75" x14ac:dyDescent="0.25">
      <c r="A196" s="187" t="s">
        <v>403</v>
      </c>
      <c r="B196" s="187" t="s">
        <v>209</v>
      </c>
      <c r="C196" s="187">
        <v>878</v>
      </c>
      <c r="D196" s="189">
        <f t="shared" si="3"/>
        <v>1.4016647562731682E-3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404</v>
      </c>
      <c r="B197" s="187" t="s">
        <v>203</v>
      </c>
      <c r="C197" s="187">
        <v>278</v>
      </c>
      <c r="D197" s="189">
        <f t="shared" si="3"/>
        <v>4.4380729184959083E-4</v>
      </c>
      <c r="E197" s="208">
        <f>town_population[[#This Row],[Pop Share of State]]/(INDEX(regional_population[Pop Share of State],MATCH(town_population[[#This Row],[Regional Planning Commission]],regional_population[Regional Planning Commission],0)))</f>
        <v>4.3074062596839165E-3</v>
      </c>
    </row>
    <row r="198" spans="1:5" ht="15.75" x14ac:dyDescent="0.25">
      <c r="A198" s="187" t="s">
        <v>405</v>
      </c>
      <c r="B198" s="187" t="s">
        <v>201</v>
      </c>
      <c r="C198" s="187">
        <v>1762</v>
      </c>
      <c r="D198" s="189">
        <f t="shared" si="3"/>
        <v>2.8129080871905723E-3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406</v>
      </c>
      <c r="B199" s="187" t="s">
        <v>216</v>
      </c>
      <c r="C199" s="187">
        <v>735</v>
      </c>
      <c r="D199" s="189">
        <f t="shared" si="3"/>
        <v>1.1733753939188823E-3</v>
      </c>
      <c r="E199" s="208">
        <f>town_population[[#This Row],[Pop Share of State]]/(INDEX(regional_population[Pop Share of State],MATCH(town_population[[#This Row],[Regional Planning Commission]],regional_population[Regional Planning Commission],0)))</f>
        <v>1.3241096038480246E-2</v>
      </c>
    </row>
    <row r="200" spans="1:5" ht="15.75" x14ac:dyDescent="0.25">
      <c r="A200" s="187" t="s">
        <v>407</v>
      </c>
      <c r="B200" s="187" t="s">
        <v>223</v>
      </c>
      <c r="C200" s="187">
        <v>4371</v>
      </c>
      <c r="D200" s="189">
        <f t="shared" si="3"/>
        <v>6.9779916283257606E-3</v>
      </c>
      <c r="E200" s="208">
        <f>town_population[[#This Row],[Pop Share of State]]/(INDEX(regional_population[Pop Share of State],MATCH(town_population[[#This Row],[Regional Planning Commission]],regional_population[Regional Planning Commission],0)))</f>
        <v>0.17594493418669238</v>
      </c>
    </row>
    <row r="201" spans="1:5" ht="15.75" x14ac:dyDescent="0.25">
      <c r="A201" s="187" t="s">
        <v>408</v>
      </c>
      <c r="B201" s="187" t="s">
        <v>216</v>
      </c>
      <c r="C201" s="187">
        <v>1037</v>
      </c>
      <c r="D201" s="189">
        <f t="shared" si="3"/>
        <v>1.6554969843454162E-3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409</v>
      </c>
      <c r="B202" s="187" t="s">
        <v>211</v>
      </c>
      <c r="C202" s="187">
        <v>171</v>
      </c>
      <c r="D202" s="189">
        <f t="shared" si="3"/>
        <v>2.7298937736071956E-4</v>
      </c>
      <c r="E202" s="208">
        <f>town_population[[#This Row],[Pop Share of State]]/(INDEX(regional_population[Pop Share of State],MATCH(town_population[[#This Row],[Regional Planning Commission]],regional_population[Regional Planning Commission],0)))</f>
        <v>3.7032224532224543E-3</v>
      </c>
    </row>
    <row r="203" spans="1:5" ht="15.75" x14ac:dyDescent="0.25">
      <c r="A203" s="187" t="s">
        <v>410</v>
      </c>
      <c r="B203" s="187" t="s">
        <v>226</v>
      </c>
      <c r="C203" s="187">
        <v>499</v>
      </c>
      <c r="D203" s="189">
        <f t="shared" si="3"/>
        <v>7.966181245789418E-4</v>
      </c>
      <c r="E203" s="208">
        <f>town_population[[#This Row],[Pop Share of State]]/(INDEX(regional_population[Pop Share of State],MATCH(town_population[[#This Row],[Regional Planning Commission]],regional_population[Regional Planning Commission],0)))</f>
        <v>8.2825700864773335E-3</v>
      </c>
    </row>
    <row r="204" spans="1:5" ht="15.75" x14ac:dyDescent="0.25">
      <c r="A204" s="187" t="s">
        <v>411</v>
      </c>
      <c r="B204" s="187" t="s">
        <v>209</v>
      </c>
      <c r="C204" s="187">
        <v>934</v>
      </c>
      <c r="D204" s="189">
        <f t="shared" si="3"/>
        <v>1.4910647862860355E-3</v>
      </c>
      <c r="E204" s="208">
        <f>town_population[[#This Row],[Pop Share of State]]/(INDEX(regional_population[Pop Share of State],MATCH(town_population[[#This Row],[Regional Planning Commission]],regional_population[Regional Planning Commission],0)))</f>
        <v>2.6525801596092132E-2</v>
      </c>
    </row>
    <row r="205" spans="1:5" ht="15.75" x14ac:dyDescent="0.25">
      <c r="A205" s="187" t="s">
        <v>412</v>
      </c>
      <c r="B205" s="187" t="s">
        <v>203</v>
      </c>
      <c r="C205" s="187">
        <v>948</v>
      </c>
      <c r="D205" s="189">
        <f t="shared" si="3"/>
        <v>1.5134147937892522E-3</v>
      </c>
      <c r="E205" s="208">
        <f>town_population[[#This Row],[Pop Share of State]]/(INDEX(regional_population[Pop Share of State],MATCH(town_population[[#This Row],[Regional Planning Commission]],regional_population[Regional Planning Commission],0)))</f>
        <v>1.468856523086458E-2</v>
      </c>
    </row>
    <row r="206" spans="1:5" ht="15.75" x14ac:dyDescent="0.25">
      <c r="A206" s="187" t="s">
        <v>413</v>
      </c>
      <c r="B206" s="187" t="s">
        <v>205</v>
      </c>
      <c r="C206" s="187">
        <v>6433</v>
      </c>
      <c r="D206" s="189">
        <f t="shared" si="3"/>
        <v>1.0269828447728122E-2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414</v>
      </c>
      <c r="B207" s="187" t="s">
        <v>216</v>
      </c>
      <c r="C207" s="187">
        <v>2589</v>
      </c>
      <c r="D207" s="189">
        <f t="shared" si="3"/>
        <v>4.1331549589877364E-3</v>
      </c>
      <c r="E207" s="208">
        <f>town_population[[#This Row],[Pop Share of State]]/(INDEX(regional_population[Pop Share of State],MATCH(town_population[[#This Row],[Regional Planning Commission]],regional_population[Regional Planning Commission],0)))</f>
        <v>4.6641085229422258E-2</v>
      </c>
    </row>
    <row r="208" spans="1:5" ht="15.75" x14ac:dyDescent="0.25">
      <c r="A208" s="187" t="s">
        <v>415</v>
      </c>
      <c r="B208" s="187" t="s">
        <v>226</v>
      </c>
      <c r="C208" s="187">
        <v>558</v>
      </c>
      <c r="D208" s="189">
        <f t="shared" si="3"/>
        <v>8.9080744191392697E-4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416</v>
      </c>
      <c r="B209" s="187" t="s">
        <v>216</v>
      </c>
      <c r="C209" s="187">
        <v>1228</v>
      </c>
      <c r="D209" s="189">
        <f t="shared" si="3"/>
        <v>1.9604149438535883E-3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417</v>
      </c>
      <c r="B210" s="187" t="s">
        <v>211</v>
      </c>
      <c r="C210" s="187">
        <v>1126</v>
      </c>
      <c r="D210" s="189">
        <f t="shared" si="3"/>
        <v>1.7975791749015801E-3</v>
      </c>
      <c r="E210" s="208">
        <f>town_population[[#This Row],[Pop Share of State]]/(INDEX(regional_population[Pop Share of State],MATCH(town_population[[#This Row],[Regional Planning Commission]],regional_population[Regional Planning Commission],0)))</f>
        <v>2.4384961884961889E-2</v>
      </c>
    </row>
    <row r="211" spans="1:5" ht="15.75" x14ac:dyDescent="0.25">
      <c r="A211" s="187" t="s">
        <v>418</v>
      </c>
      <c r="B211" s="187" t="s">
        <v>203</v>
      </c>
      <c r="C211" s="187">
        <v>1413</v>
      </c>
      <c r="D211" s="189">
        <f t="shared" si="3"/>
        <v>2.2557543287175246E-3</v>
      </c>
      <c r="E211" s="208">
        <f>town_population[[#This Row],[Pop Share of State]]/(INDEX(regional_population[Pop Share of State],MATCH(town_population[[#This Row],[Regional Planning Commission]],regional_population[Regional Planning Commission],0)))</f>
        <v>2.1893399442206384E-2</v>
      </c>
    </row>
    <row r="212" spans="1:5" ht="15.75" x14ac:dyDescent="0.25">
      <c r="A212" s="187" t="s">
        <v>419</v>
      </c>
      <c r="B212" s="187" t="s">
        <v>216</v>
      </c>
      <c r="C212" s="187">
        <v>1237</v>
      </c>
      <c r="D212" s="189">
        <f t="shared" si="3"/>
        <v>1.974782805819942E-3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420</v>
      </c>
      <c r="B213" s="187" t="s">
        <v>232</v>
      </c>
      <c r="C213" s="187">
        <v>3040</v>
      </c>
      <c r="D213" s="189">
        <f t="shared" si="3"/>
        <v>4.8531444864127922E-3</v>
      </c>
      <c r="E213" s="208">
        <f>town_population[[#This Row],[Pop Share of State]]/(INDEX(regional_population[Pop Share of State],MATCH(town_population[[#This Row],[Regional Planning Commission]],regional_population[Regional Planning Commission],0)))</f>
        <v>1.9157329569086123E-2</v>
      </c>
    </row>
    <row r="214" spans="1:5" ht="15.75" x14ac:dyDescent="0.25">
      <c r="A214" s="187" t="s">
        <v>421</v>
      </c>
      <c r="B214" s="187" t="s">
        <v>201</v>
      </c>
      <c r="C214" s="187">
        <v>2579</v>
      </c>
      <c r="D214" s="189">
        <f t="shared" si="3"/>
        <v>4.1171906679140103E-3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422</v>
      </c>
      <c r="B215" s="187" t="s">
        <v>211</v>
      </c>
      <c r="C215" s="187">
        <v>2027</v>
      </c>
      <c r="D215" s="189">
        <f t="shared" si="3"/>
        <v>3.2359618006443189E-3</v>
      </c>
      <c r="E215" s="208">
        <f>town_population[[#This Row],[Pop Share of State]]/(INDEX(regional_population[Pop Share of State],MATCH(town_population[[#This Row],[Regional Planning Commission]],regional_population[Regional Planning Commission],0)))</f>
        <v>4.389726264726266E-2</v>
      </c>
    </row>
    <row r="216" spans="1:5" ht="15.75" x14ac:dyDescent="0.25">
      <c r="A216" s="187" t="s">
        <v>423</v>
      </c>
      <c r="B216" s="187" t="s">
        <v>216</v>
      </c>
      <c r="C216" s="187">
        <v>679</v>
      </c>
      <c r="D216" s="189">
        <f t="shared" si="3"/>
        <v>1.083975363906015E-3</v>
      </c>
      <c r="E216" s="208">
        <f>town_population[[#This Row],[Pop Share of State]]/(INDEX(regional_population[Pop Share of State],MATCH(town_population[[#This Row],[Regional Planning Commission]],regional_population[Regional Planning Commission],0)))</f>
        <v>1.2232250626024607E-2</v>
      </c>
    </row>
    <row r="217" spans="1:5" ht="15.75" x14ac:dyDescent="0.25">
      <c r="A217" s="187" t="s">
        <v>424</v>
      </c>
      <c r="B217" s="187" t="s">
        <v>203</v>
      </c>
      <c r="C217" s="187">
        <v>108</v>
      </c>
      <c r="D217" s="189">
        <f t="shared" si="3"/>
        <v>1.7241434359624392E-4</v>
      </c>
      <c r="E217" s="208">
        <f>town_population[[#This Row],[Pop Share of State]]/(INDEX(regional_population[Pop Share of State],MATCH(town_population[[#This Row],[Regional Planning Commission]],regional_population[Regional Planning Commission],0)))</f>
        <v>1.6733808490858382E-3</v>
      </c>
    </row>
    <row r="218" spans="1:5" ht="15.75" x14ac:dyDescent="0.25">
      <c r="A218" s="187" t="s">
        <v>425</v>
      </c>
      <c r="B218" s="187" t="s">
        <v>219</v>
      </c>
      <c r="C218" s="187">
        <v>1607</v>
      </c>
      <c r="D218" s="189">
        <f t="shared" si="3"/>
        <v>2.5654615755478145E-3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426</v>
      </c>
      <c r="B219" s="187" t="s">
        <v>203</v>
      </c>
      <c r="C219" s="187">
        <v>1044</v>
      </c>
      <c r="D219" s="189">
        <f t="shared" si="3"/>
        <v>1.6666719880970246E-3</v>
      </c>
      <c r="E219" s="208">
        <f>town_population[[#This Row],[Pop Share of State]]/(INDEX(regional_population[Pop Share of State],MATCH(town_population[[#This Row],[Regional Planning Commission]],regional_population[Regional Planning Commission],0)))</f>
        <v>1.6176014874496436E-2</v>
      </c>
    </row>
    <row r="220" spans="1:5" ht="15.75" x14ac:dyDescent="0.25">
      <c r="A220" s="187" t="s">
        <v>427</v>
      </c>
      <c r="B220" s="187" t="s">
        <v>226</v>
      </c>
      <c r="C220" s="187">
        <v>2098</v>
      </c>
      <c r="D220" s="189">
        <f t="shared" si="3"/>
        <v>3.3493082672677752E-3</v>
      </c>
      <c r="E220" s="208">
        <f>town_population[[#This Row],[Pop Share of State]]/(INDEX(regional_population[Pop Share of State],MATCH(town_population[[#This Row],[Regional Planning Commission]],regional_population[Regional Planning Commission],0)))</f>
        <v>3.4823310704267425E-2</v>
      </c>
    </row>
    <row r="221" spans="1:5" ht="15.75" x14ac:dyDescent="0.25">
      <c r="A221" s="187" t="s">
        <v>428</v>
      </c>
      <c r="B221" s="187" t="s">
        <v>201</v>
      </c>
      <c r="C221" s="187">
        <v>486</v>
      </c>
      <c r="D221" s="189">
        <f t="shared" si="3"/>
        <v>7.7586454618309769E-4</v>
      </c>
      <c r="E221" s="208">
        <f>town_population[[#This Row],[Pop Share of State]]/(INDEX(regional_population[Pop Share of State],MATCH(town_population[[#This Row],[Regional Planning Commission]],regional_population[Regional Planning Commission],0)))</f>
        <v>1.3432835820895524E-2</v>
      </c>
    </row>
    <row r="222" spans="1:5" ht="15.75" x14ac:dyDescent="0.25">
      <c r="A222" s="187" t="s">
        <v>429</v>
      </c>
      <c r="B222" s="187" t="s">
        <v>211</v>
      </c>
      <c r="C222" s="187">
        <v>694</v>
      </c>
      <c r="D222" s="189">
        <f t="shared" si="3"/>
        <v>1.1079218005166044E-3</v>
      </c>
      <c r="E222" s="208">
        <f>town_population[[#This Row],[Pop Share of State]]/(INDEX(regional_population[Pop Share of State],MATCH(town_population[[#This Row],[Regional Planning Commission]],regional_population[Regional Planning Commission],0)))</f>
        <v>1.5029452529452533E-2</v>
      </c>
    </row>
    <row r="223" spans="1:5" ht="15.75" x14ac:dyDescent="0.25">
      <c r="A223" s="187" t="s">
        <v>430</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431</v>
      </c>
      <c r="B224" s="187" t="s">
        <v>219</v>
      </c>
      <c r="C224" s="187">
        <v>1651</v>
      </c>
      <c r="D224" s="189">
        <f t="shared" si="3"/>
        <v>2.6357044562722101E-3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432</v>
      </c>
      <c r="B225" s="187" t="s">
        <v>203</v>
      </c>
      <c r="C225" s="187">
        <v>4</v>
      </c>
      <c r="D225" s="189">
        <f t="shared" si="3"/>
        <v>6.3857164294905158E-6</v>
      </c>
      <c r="E225" s="208">
        <f>town_population[[#This Row],[Pop Share of State]]/(INDEX(regional_population[Pop Share of State],MATCH(town_population[[#This Row],[Regional Planning Commission]],regional_population[Regional Planning Commission],0)))</f>
        <v>6.1977068484660671E-5</v>
      </c>
    </row>
    <row r="226" spans="1:5" ht="15.75" x14ac:dyDescent="0.25">
      <c r="A226" s="187" t="s">
        <v>433</v>
      </c>
      <c r="B226" s="187" t="s">
        <v>219</v>
      </c>
      <c r="C226" s="187">
        <v>1067</v>
      </c>
      <c r="D226" s="189">
        <f t="shared" si="3"/>
        <v>1.703389857566595E-3</v>
      </c>
      <c r="E226" s="208">
        <f>town_population[[#This Row],[Pop Share of State]]/(INDEX(regional_population[Pop Share of State],MATCH(town_population[[#This Row],[Regional Planning Commission]],regional_population[Regional Planning Commission],0)))</f>
        <v>1.6454622561492788E-2</v>
      </c>
    </row>
    <row r="227" spans="1:5" ht="15.75" x14ac:dyDescent="0.25">
      <c r="A227" s="187" t="s">
        <v>434</v>
      </c>
      <c r="B227" s="187" t="s">
        <v>219</v>
      </c>
      <c r="C227" s="187">
        <v>5083</v>
      </c>
      <c r="D227" s="189">
        <f t="shared" si="3"/>
        <v>8.1146491527750719E-3</v>
      </c>
      <c r="E227" s="208">
        <f>town_population[[#This Row],[Pop Share of State]]/(INDEX(regional_population[Pop Share of State],MATCH(town_population[[#This Row],[Regional Planning Commission]],regional_population[Regional Planning Commission],0)))</f>
        <v>7.8386922661731806E-2</v>
      </c>
    </row>
    <row r="228" spans="1:5" ht="15.75" x14ac:dyDescent="0.25">
      <c r="A228" s="187" t="s">
        <v>435</v>
      </c>
      <c r="B228" s="187" t="s">
        <v>203</v>
      </c>
      <c r="C228" s="187">
        <v>1489</v>
      </c>
      <c r="D228" s="189">
        <f t="shared" si="3"/>
        <v>2.3770829408778444E-3</v>
      </c>
      <c r="E228" s="208">
        <f>town_population[[#This Row],[Pop Share of State]]/(INDEX(regional_population[Pop Share of State],MATCH(town_population[[#This Row],[Regional Planning Commission]],regional_population[Regional Planning Commission],0)))</f>
        <v>2.3070963743414934E-2</v>
      </c>
    </row>
    <row r="229" spans="1:5" ht="15.75" x14ac:dyDescent="0.25">
      <c r="A229" s="187" t="s">
        <v>436</v>
      </c>
      <c r="B229" s="187" t="s">
        <v>223</v>
      </c>
      <c r="C229" s="187">
        <v>724</v>
      </c>
      <c r="D229" s="189">
        <f t="shared" si="3"/>
        <v>1.1558146737377832E-3</v>
      </c>
      <c r="E229" s="208">
        <f>town_population[[#This Row],[Pop Share of State]]/(INDEX(regional_population[Pop Share of State],MATCH(town_population[[#This Row],[Regional Planning Commission]],regional_population[Regional Planning Commission],0)))</f>
        <v>2.9143018154007157E-2</v>
      </c>
    </row>
    <row r="230" spans="1:5" ht="15.75" x14ac:dyDescent="0.25">
      <c r="A230" s="187" t="s">
        <v>437</v>
      </c>
      <c r="B230" s="187" t="s">
        <v>207</v>
      </c>
      <c r="C230" s="187">
        <v>2813</v>
      </c>
      <c r="D230" s="189">
        <f t="shared" si="3"/>
        <v>4.4907550790392048E-3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438</v>
      </c>
      <c r="B231" s="187" t="s">
        <v>226</v>
      </c>
      <c r="C231" s="187">
        <v>1116</v>
      </c>
      <c r="D231" s="189">
        <f t="shared" si="3"/>
        <v>1.7816148838278539E-3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439</v>
      </c>
      <c r="B232" s="187" t="s">
        <v>216</v>
      </c>
      <c r="C232" s="187">
        <v>650</v>
      </c>
      <c r="D232" s="189">
        <f t="shared" si="3"/>
        <v>1.0376789197922088E-3</v>
      </c>
      <c r="E232" s="208">
        <f>town_population[[#This Row],[Pop Share of State]]/(INDEX(regional_population[Pop Share of State],MATCH(town_population[[#This Row],[Regional Planning Commission]],regional_population[Regional Planning Commission],0)))</f>
        <v>1.1709812823145795E-2</v>
      </c>
    </row>
    <row r="233" spans="1:5" ht="15.75" x14ac:dyDescent="0.25">
      <c r="A233" s="187" t="s">
        <v>440</v>
      </c>
      <c r="B233" s="187" t="s">
        <v>226</v>
      </c>
      <c r="C233" s="187">
        <v>290</v>
      </c>
      <c r="D233" s="189">
        <f t="shared" si="3"/>
        <v>4.6296444113806239E-4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441</v>
      </c>
      <c r="B234" s="187" t="s">
        <v>226</v>
      </c>
      <c r="C234" s="187">
        <v>2335</v>
      </c>
      <c r="D234" s="189">
        <f t="shared" si="3"/>
        <v>3.7276619657150884E-3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442</v>
      </c>
      <c r="B235" s="187" t="s">
        <v>207</v>
      </c>
      <c r="C235" s="187">
        <v>1094</v>
      </c>
      <c r="D235" s="189">
        <f t="shared" si="3"/>
        <v>1.7464934434656561E-3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443</v>
      </c>
      <c r="B236" s="187" t="s">
        <v>203</v>
      </c>
      <c r="C236" s="187">
        <v>534</v>
      </c>
      <c r="D236" s="189">
        <f t="shared" si="3"/>
        <v>8.5249314333698384E-4</v>
      </c>
      <c r="E236" s="208">
        <f>town_population[[#This Row],[Pop Share of State]]/(INDEX(regional_population[Pop Share of State],MATCH(town_population[[#This Row],[Regional Planning Commission]],regional_population[Regional Planning Commission],0)))</f>
        <v>8.2739386427022003E-3</v>
      </c>
    </row>
    <row r="237" spans="1:5" ht="15.75" x14ac:dyDescent="0.25">
      <c r="A237" s="187" t="s">
        <v>444</v>
      </c>
      <c r="B237" s="187" t="s">
        <v>232</v>
      </c>
      <c r="C237" s="187">
        <v>1937</v>
      </c>
      <c r="D237" s="189">
        <f t="shared" si="3"/>
        <v>3.0922831809807824E-3</v>
      </c>
      <c r="E237" s="208">
        <f>town_population[[#This Row],[Pop Share of State]]/(INDEX(regional_population[Pop Share of State],MATCH(town_population[[#This Row],[Regional Planning Commission]],regional_population[Regional Planning Commission],0)))</f>
        <v>1.2206495847144677E-2</v>
      </c>
    </row>
    <row r="238" spans="1:5" ht="15.75" x14ac:dyDescent="0.25">
      <c r="A238" s="187" t="s">
        <v>445</v>
      </c>
      <c r="B238" s="187" t="s">
        <v>211</v>
      </c>
      <c r="C238" s="187">
        <v>3148</v>
      </c>
      <c r="D238" s="189">
        <f t="shared" si="3"/>
        <v>5.0255588300090357E-3</v>
      </c>
      <c r="E238" s="208">
        <f>town_population[[#This Row],[Pop Share of State]]/(INDEX(regional_population[Pop Share of State],MATCH(town_population[[#This Row],[Regional Planning Commission]],regional_population[Regional Planning Commission],0)))</f>
        <v>6.8173943173943194E-2</v>
      </c>
    </row>
    <row r="239" spans="1:5" ht="15.75" x14ac:dyDescent="0.25">
      <c r="A239" s="187" t="s">
        <v>446</v>
      </c>
      <c r="B239" s="187" t="s">
        <v>203</v>
      </c>
      <c r="C239" s="187">
        <v>393</v>
      </c>
      <c r="D239" s="189">
        <f t="shared" si="3"/>
        <v>6.2739663919744314E-4</v>
      </c>
      <c r="E239" s="208">
        <f>town_population[[#This Row],[Pop Share of State]]/(INDEX(regional_population[Pop Share of State],MATCH(town_population[[#This Row],[Regional Planning Commission]],regional_population[Regional Planning Commission],0)))</f>
        <v>6.0892469786179111E-3</v>
      </c>
    </row>
    <row r="240" spans="1:5" ht="15.75" x14ac:dyDescent="0.25">
      <c r="A240" s="187" t="s">
        <v>447</v>
      </c>
      <c r="B240" s="187" t="s">
        <v>211</v>
      </c>
      <c r="C240" s="187">
        <v>598</v>
      </c>
      <c r="D240" s="189">
        <f t="shared" si="3"/>
        <v>9.5466460620883208E-4</v>
      </c>
      <c r="E240" s="208">
        <f>town_population[[#This Row],[Pop Share of State]]/(INDEX(regional_population[Pop Share of State],MATCH(town_population[[#This Row],[Regional Planning Commission]],regional_population[Regional Planning Commission],0)))</f>
        <v>1.2950450450450453E-2</v>
      </c>
    </row>
    <row r="241" spans="1:5" ht="15.75" x14ac:dyDescent="0.25">
      <c r="A241" s="187" t="s">
        <v>448</v>
      </c>
      <c r="B241" s="187" t="s">
        <v>201</v>
      </c>
      <c r="C241" s="187">
        <v>854</v>
      </c>
      <c r="D241" s="189">
        <f t="shared" si="3"/>
        <v>1.363350457696225E-3</v>
      </c>
      <c r="E241" s="208">
        <f>town_population[[#This Row],[Pop Share of State]]/(INDEX(regional_population[Pop Share of State],MATCH(town_population[[#This Row],[Regional Planning Commission]],regional_population[Regional Planning Commission],0)))</f>
        <v>2.3604201216141516E-2</v>
      </c>
    </row>
    <row r="242" spans="1:5" ht="15.75" x14ac:dyDescent="0.25">
      <c r="A242" s="187" t="s">
        <v>449</v>
      </c>
      <c r="B242" s="187" t="s">
        <v>203</v>
      </c>
      <c r="C242" s="187">
        <v>866</v>
      </c>
      <c r="D242" s="189">
        <f t="shared" si="3"/>
        <v>1.3825076069846967E-3</v>
      </c>
      <c r="E242" s="208">
        <f>town_population[[#This Row],[Pop Share of State]]/(INDEX(regional_population[Pop Share of State],MATCH(town_population[[#This Row],[Regional Planning Commission]],regional_population[Regional Planning Commission],0)))</f>
        <v>1.3418035326929036E-2</v>
      </c>
    </row>
    <row r="243" spans="1:5" ht="15.75" x14ac:dyDescent="0.25">
      <c r="A243" s="187" t="s">
        <v>450</v>
      </c>
      <c r="B243" s="187" t="s">
        <v>201</v>
      </c>
      <c r="C243" s="187">
        <v>409</v>
      </c>
      <c r="D243" s="189">
        <f t="shared" si="3"/>
        <v>6.5293950491540523E-4</v>
      </c>
      <c r="E243" s="208">
        <f>town_population[[#This Row],[Pop Share of State]]/(INDEX(regional_population[Pop Share of State],MATCH(town_population[[#This Row],[Regional Planning Commission]],regional_population[Regional Planning Commission],0)))</f>
        <v>1.1304588170259812E-2</v>
      </c>
    </row>
    <row r="244" spans="1:5" ht="15.75" x14ac:dyDescent="0.25">
      <c r="A244" s="187" t="s">
        <v>451</v>
      </c>
      <c r="B244" s="187" t="s">
        <v>211</v>
      </c>
      <c r="C244" s="187">
        <v>1237</v>
      </c>
      <c r="D244" s="189">
        <f t="shared" si="3"/>
        <v>1.974782805819942E-3</v>
      </c>
      <c r="E244" s="208">
        <f>town_population[[#This Row],[Pop Share of State]]/(INDEX(regional_population[Pop Share of State],MATCH(town_population[[#This Row],[Regional Planning Commission]],regional_population[Regional Planning Commission],0)))</f>
        <v>2.6788808038808044E-2</v>
      </c>
    </row>
    <row r="245" spans="1:5" ht="15.75" x14ac:dyDescent="0.25">
      <c r="A245" s="187" t="s">
        <v>452</v>
      </c>
      <c r="B245" s="187" t="s">
        <v>219</v>
      </c>
      <c r="C245" s="187">
        <v>3397</v>
      </c>
      <c r="D245" s="189">
        <f t="shared" si="3"/>
        <v>5.4230696777448203E-3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453</v>
      </c>
      <c r="B246" s="187" t="s">
        <v>232</v>
      </c>
      <c r="C246" s="187">
        <v>8932</v>
      </c>
      <c r="D246" s="189">
        <f t="shared" si="3"/>
        <v>1.4259304787052321E-2</v>
      </c>
      <c r="E246" s="208">
        <f>town_population[[#This Row],[Pop Share of State]]/(INDEX(regional_population[Pop Share of State],MATCH(town_population[[#This Row],[Regional Planning Commission]],regional_population[Regional Planning Commission],0)))</f>
        <v>5.6287259115485933E-2</v>
      </c>
    </row>
    <row r="247" spans="1:5" ht="15.75" x14ac:dyDescent="0.25">
      <c r="A247" s="187" t="s">
        <v>454</v>
      </c>
      <c r="B247" s="187" t="s">
        <v>211</v>
      </c>
      <c r="C247" s="187">
        <v>2257</v>
      </c>
      <c r="D247" s="189">
        <f t="shared" si="3"/>
        <v>3.6031404953400232E-3</v>
      </c>
      <c r="E247" s="208">
        <f>town_population[[#This Row],[Pop Share of State]]/(INDEX(regional_population[Pop Share of State],MATCH(town_population[[#This Row],[Regional Planning Commission]],regional_population[Regional Planning Commission],0)))</f>
        <v>4.8878205128205135E-2</v>
      </c>
    </row>
    <row r="248" spans="1:5" ht="15.75" x14ac:dyDescent="0.25">
      <c r="A248" s="187" t="s">
        <v>455</v>
      </c>
      <c r="B248" s="187" t="s">
        <v>211</v>
      </c>
      <c r="C248" s="187">
        <v>422</v>
      </c>
      <c r="D248" s="189">
        <f t="shared" si="3"/>
        <v>6.7369308331124945E-4</v>
      </c>
      <c r="E248" s="208">
        <f>town_population[[#This Row],[Pop Share of State]]/(INDEX(regional_population[Pop Share of State],MATCH(town_population[[#This Row],[Regional Planning Commission]],regional_population[Regional Planning Commission],0)))</f>
        <v>9.1389466389466423E-3</v>
      </c>
    </row>
    <row r="249" spans="1:5" ht="15.75" x14ac:dyDescent="0.25">
      <c r="A249" s="187" t="s">
        <v>456</v>
      </c>
      <c r="B249" s="187" t="s">
        <v>207</v>
      </c>
      <c r="C249" s="187">
        <v>3504</v>
      </c>
      <c r="D249" s="189">
        <f t="shared" si="3"/>
        <v>5.5938875922336914E-3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457</v>
      </c>
      <c r="B250" s="187" t="s">
        <v>211</v>
      </c>
      <c r="C250" s="187">
        <v>654</v>
      </c>
      <c r="D250" s="189">
        <f t="shared" si="3"/>
        <v>1.0440646362216994E-3</v>
      </c>
      <c r="E250" s="208">
        <f>town_population[[#This Row],[Pop Share of State]]/(INDEX(regional_population[Pop Share of State],MATCH(town_population[[#This Row],[Regional Planning Commission]],regional_population[Regional Planning Commission],0)))</f>
        <v>1.4163201663201667E-2</v>
      </c>
    </row>
    <row r="251" spans="1:5" ht="15.75" x14ac:dyDescent="0.25">
      <c r="A251" s="187" t="s">
        <v>458</v>
      </c>
      <c r="B251" s="187" t="s">
        <v>232</v>
      </c>
      <c r="C251" s="187">
        <v>7250</v>
      </c>
      <c r="D251" s="189">
        <f t="shared" si="3"/>
        <v>1.157411102845156E-2</v>
      </c>
      <c r="E251" s="208">
        <f>town_population[[#This Row],[Pop Share of State]]/(INDEX(regional_population[Pop Share of State],MATCH(town_population[[#This Row],[Regional Planning Commission]],regional_population[Regional Planning Commission],0)))</f>
        <v>4.5687710321011314E-2</v>
      </c>
    </row>
    <row r="252" spans="1:5" ht="15.75" x14ac:dyDescent="0.25">
      <c r="A252" s="187" t="s">
        <v>459</v>
      </c>
      <c r="B252" s="187" t="s">
        <v>223</v>
      </c>
      <c r="C252" s="187">
        <v>1556</v>
      </c>
      <c r="D252" s="189">
        <f t="shared" si="3"/>
        <v>2.4840436910718105E-3</v>
      </c>
      <c r="E252" s="208">
        <f>town_population[[#This Row],[Pop Share of State]]/(INDEX(regional_population[Pop Share of State],MATCH(town_population[[#This Row],[Regional Planning Commission]],regional_population[Regional Planning Commission],0)))</f>
        <v>6.2633337358612068E-2</v>
      </c>
    </row>
    <row r="253" spans="1:5" ht="15.75" x14ac:dyDescent="0.25">
      <c r="A253" s="187" t="s">
        <v>460</v>
      </c>
      <c r="B253" s="187" t="s">
        <v>219</v>
      </c>
      <c r="C253" s="187">
        <v>897</v>
      </c>
      <c r="D253" s="189">
        <f t="shared" si="3"/>
        <v>1.4319969093132482E-3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461</v>
      </c>
      <c r="B254" s="187" t="s">
        <v>209</v>
      </c>
      <c r="C254" s="187">
        <v>322</v>
      </c>
      <c r="D254" s="189">
        <f t="shared" si="3"/>
        <v>5.1405017257398651E-4</v>
      </c>
      <c r="E254" s="208">
        <f>town_population[[#This Row],[Pop Share of State]]/(INDEX(regional_population[Pop Share of State],MATCH(town_population[[#This Row],[Regional Planning Commission]],regional_population[Regional Planning Commission],0)))</f>
        <v>9.1448695010082088E-3</v>
      </c>
    </row>
    <row r="255" spans="1:5" ht="15.75" x14ac:dyDescent="0.25">
      <c r="A255" s="187" t="s">
        <v>462</v>
      </c>
      <c r="B255" s="187" t="s">
        <v>216</v>
      </c>
      <c r="C255" s="187">
        <v>3017</v>
      </c>
      <c r="D255" s="189">
        <f t="shared" si="3"/>
        <v>4.8164266169432217E-3</v>
      </c>
      <c r="E255" s="208">
        <f>town_population[[#This Row],[Pop Share of State]]/(INDEX(regional_population[Pop Share of State],MATCH(town_population[[#This Row],[Regional Planning Commission]],regional_population[Regional Planning Commission],0)))</f>
        <v>5.435154659604749E-2</v>
      </c>
    </row>
    <row r="256" spans="1:5" ht="15.75" x14ac:dyDescent="0.25">
      <c r="A256" s="187" t="s">
        <v>463</v>
      </c>
      <c r="B256" s="187" t="s">
        <v>219</v>
      </c>
      <c r="C256" s="187">
        <v>891</v>
      </c>
      <c r="D256" s="189">
        <f t="shared" si="3"/>
        <v>1.4224183346690123E-3</v>
      </c>
      <c r="E256" s="208">
        <f>town_population[[#This Row],[Pop Share of State]]/(INDEX(regional_population[Pop Share of State],MATCH(town_population[[#This Row],[Regional Planning Commission]],regional_population[Regional Planning Commission],0)))</f>
        <v>1.3740458015267173E-2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2" zoomScale="70" zoomScaleNormal="70" workbookViewId="0">
      <selection activeCell="A9" sqref="A9"/>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510</v>
      </c>
      <c r="R1" t="s">
        <v>511</v>
      </c>
    </row>
    <row r="2" spans="1:37" ht="39" customHeight="1" x14ac:dyDescent="0.25">
      <c r="A2" s="210" t="s">
        <v>464</v>
      </c>
      <c r="B2" s="210" t="s">
        <v>465</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509</v>
      </c>
      <c r="R2" s="210" t="s">
        <v>514</v>
      </c>
      <c r="S2" s="210" t="s">
        <v>515</v>
      </c>
      <c r="T2" s="210" t="s">
        <v>516</v>
      </c>
      <c r="U2" s="210" t="s">
        <v>517</v>
      </c>
      <c r="V2" s="210" t="s">
        <v>518</v>
      </c>
      <c r="W2" s="210" t="s">
        <v>519</v>
      </c>
      <c r="X2" s="210" t="s">
        <v>520</v>
      </c>
      <c r="Y2" s="210" t="s">
        <v>521</v>
      </c>
      <c r="Z2" s="210" t="s">
        <v>522</v>
      </c>
      <c r="AA2" s="210" t="s">
        <v>523</v>
      </c>
      <c r="AB2" s="210" t="s">
        <v>524</v>
      </c>
      <c r="AC2" s="210" t="s">
        <v>525</v>
      </c>
      <c r="AD2" s="210" t="s">
        <v>526</v>
      </c>
      <c r="AE2" s="210" t="s">
        <v>527</v>
      </c>
      <c r="AF2" s="210" t="s">
        <v>528</v>
      </c>
      <c r="AG2" s="210" t="s">
        <v>529</v>
      </c>
      <c r="AH2" s="210" t="s">
        <v>530</v>
      </c>
      <c r="AJ2" t="s">
        <v>465</v>
      </c>
      <c r="AK2" t="s">
        <v>528</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219</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232</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223</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561</v>
      </c>
      <c r="B9" t="s">
        <v>203</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213</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226</v>
      </c>
      <c r="AK10" s="23">
        <f>SUMIF(town_establishments[Regional Planning Commission],AJ10,town_establishments[share of state establishments (no residual)])</f>
        <v>9.6583193003422246E-2</v>
      </c>
    </row>
    <row r="11" spans="1:37" x14ac:dyDescent="0.25">
      <c r="A11" t="s">
        <v>214</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215</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216</v>
      </c>
      <c r="AK12" s="23">
        <f>SUMIF(town_establishments[Regional Planning Commission],AJ12,town_establishments[share of state establishments (no residual)])</f>
        <v>8.8000434570047248E-2</v>
      </c>
    </row>
    <row r="13" spans="1:37" x14ac:dyDescent="0.25">
      <c r="A13" t="s">
        <v>217</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220</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218</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221</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222</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224</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225</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227</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228</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229</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230</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231</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233</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234</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235</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236</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237</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238</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239</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240</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241</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242</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243</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244</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246</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247</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248</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249</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250</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251</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252</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253</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254</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255</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256</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257</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258</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259</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260</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261</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262</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263</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264</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265</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266</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267</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268</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269</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270</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271</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272</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273</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274</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275</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276</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277</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278</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279</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280</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281</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282</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283</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285</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286</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287</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288</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290</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291</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292</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293</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294</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295</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296</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297</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298</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299</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300</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301</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302</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303</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304</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305</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306</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307</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308</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309</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310</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311</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312</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313</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314</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315</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316</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317</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319</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320</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321</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324</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325</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326</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327</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328</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329</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330</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331</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332</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333</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334</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335</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336</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337</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338</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339</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340</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341</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342</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343</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344</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345</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346</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348</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349</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347</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350</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351</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352</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353</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354</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355</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356</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357</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358</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359</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360</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361</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362</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363</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364</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365</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366</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367</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368</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369</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370</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371</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372</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373</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374</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375</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376</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377</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378</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379</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380</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381</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382</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384</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383</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385</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508</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400</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401</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402</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386</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387</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388</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389</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390</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391</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392</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393</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318</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394</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395</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397</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398</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399</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403</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404</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405</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406</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407</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408</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409</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410</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411</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412</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413</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414</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415</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416</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417</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418</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419</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420</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421</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422</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423</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424</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425</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426</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427</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428</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429</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431</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433</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434</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435</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436</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437</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438</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439</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441</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443</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444</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440</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445</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446</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447</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442</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448</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449</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450</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451</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452</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453</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454</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455</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456</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457</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458</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459</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460</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461</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462</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463</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507</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509</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tabSelected="1" workbookViewId="0">
      <selection activeCell="E20" sqref="E20"/>
    </sheetView>
  </sheetViews>
  <sheetFormatPr defaultRowHeight="15" x14ac:dyDescent="0.25"/>
  <sheetData>
    <row r="2" spans="1:8" x14ac:dyDescent="0.25">
      <c r="B2" t="s">
        <v>547</v>
      </c>
      <c r="C2" t="s">
        <v>278</v>
      </c>
      <c r="D2" t="s">
        <v>548</v>
      </c>
      <c r="E2" t="s">
        <v>549</v>
      </c>
    </row>
    <row r="3" spans="1:8" x14ac:dyDescent="0.25">
      <c r="A3" t="s">
        <v>550</v>
      </c>
      <c r="B3" s="216">
        <f>SUM(B4:B5)</f>
        <v>11200</v>
      </c>
      <c r="C3" s="216">
        <f t="shared" ref="C3:D3" si="0">SUM(C4:C5)</f>
        <v>2701</v>
      </c>
      <c r="D3" s="216">
        <f t="shared" si="0"/>
        <v>12287</v>
      </c>
      <c r="E3" s="217">
        <f>SUM(B3:D3)</f>
        <v>26188</v>
      </c>
    </row>
    <row r="4" spans="1:8" x14ac:dyDescent="0.25">
      <c r="A4" t="s">
        <v>551</v>
      </c>
      <c r="B4" s="216">
        <v>8789</v>
      </c>
      <c r="C4">
        <v>2156</v>
      </c>
      <c r="D4">
        <v>9047</v>
      </c>
      <c r="E4" s="217">
        <f t="shared" ref="E4:E5" si="1">SUM(B4:D4)</f>
        <v>19992</v>
      </c>
    </row>
    <row r="5" spans="1:8" x14ac:dyDescent="0.25">
      <c r="A5" t="s">
        <v>552</v>
      </c>
      <c r="B5" s="216">
        <v>2411</v>
      </c>
      <c r="C5">
        <v>545</v>
      </c>
      <c r="D5">
        <v>3240</v>
      </c>
      <c r="E5" s="217">
        <f t="shared" si="1"/>
        <v>6196</v>
      </c>
    </row>
    <row r="6" spans="1:8" x14ac:dyDescent="0.25">
      <c r="B6" s="216"/>
      <c r="E6" s="217"/>
    </row>
    <row r="7" spans="1:8" x14ac:dyDescent="0.25">
      <c r="A7" t="s">
        <v>553</v>
      </c>
      <c r="B7" t="s">
        <v>554</v>
      </c>
      <c r="C7" t="s">
        <v>552</v>
      </c>
      <c r="D7" t="s">
        <v>12</v>
      </c>
      <c r="E7" t="s">
        <v>555</v>
      </c>
      <c r="F7" t="s">
        <v>556</v>
      </c>
      <c r="G7" t="s">
        <v>557</v>
      </c>
      <c r="H7" t="s">
        <v>558</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217</v>
      </c>
      <c r="B9">
        <v>500</v>
      </c>
      <c r="C9">
        <v>118</v>
      </c>
      <c r="D9">
        <f>SUM(B9:C9)</f>
        <v>618</v>
      </c>
      <c r="E9" s="215">
        <f>D9/$E$3</f>
        <v>2.3598594776233391E-2</v>
      </c>
      <c r="F9" s="216">
        <v>88406</v>
      </c>
      <c r="G9" s="216">
        <f>F9/D9</f>
        <v>143.05177993527508</v>
      </c>
      <c r="H9" s="219">
        <f>G9*E9</f>
        <v>3.3758209867114712</v>
      </c>
    </row>
    <row r="10" spans="1:8" ht="15.75" x14ac:dyDescent="0.25">
      <c r="A10" s="218" t="s">
        <v>221</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230</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239</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243</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244</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246</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251</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254</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261</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264</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265</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267</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268</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273</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290</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293</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296</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297</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298</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302</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307</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312</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315</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319</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322</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326</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328</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329</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330</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343</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348</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351</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559</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355</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361</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385</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391</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560</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404</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412</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418</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561</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424</v>
      </c>
      <c r="B52">
        <v>39</v>
      </c>
      <c r="C52">
        <v>2</v>
      </c>
      <c r="D52">
        <f t="shared" si="2"/>
        <v>41</v>
      </c>
      <c r="E52" s="215">
        <f t="shared" si="3"/>
        <v>1.5656025660607913E-3</v>
      </c>
      <c r="F52" s="216">
        <v>5781</v>
      </c>
      <c r="G52" s="216">
        <f t="shared" si="4"/>
        <v>141</v>
      </c>
      <c r="H52" s="219">
        <f t="shared" si="5"/>
        <v>0.22074996181457157</v>
      </c>
    </row>
    <row r="53" spans="1:8" ht="15.75" x14ac:dyDescent="0.25">
      <c r="A53" s="220" t="s">
        <v>426</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435</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443</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446</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449</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zoomScale="82" zoomScaleNormal="82"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3" t="s">
        <v>491</v>
      </c>
      <c r="C3" s="234"/>
      <c r="D3" s="234"/>
      <c r="E3" s="234"/>
      <c r="F3" s="234"/>
      <c r="G3" s="234"/>
      <c r="H3" s="234"/>
      <c r="I3" s="234"/>
      <c r="J3" s="234"/>
      <c r="K3" s="235"/>
      <c r="O3" t="s">
        <v>212</v>
      </c>
    </row>
    <row r="4" spans="2:15" x14ac:dyDescent="0.25">
      <c r="B4" s="101"/>
      <c r="C4" s="236" t="s">
        <v>492</v>
      </c>
      <c r="D4" s="236"/>
      <c r="E4" s="236"/>
      <c r="F4" s="236"/>
      <c r="G4" s="236"/>
      <c r="H4" s="236"/>
      <c r="I4" s="236"/>
      <c r="J4" s="236"/>
      <c r="K4" s="239"/>
      <c r="O4" t="s">
        <v>245</v>
      </c>
    </row>
    <row r="5" spans="2:15" x14ac:dyDescent="0.25">
      <c r="B5" s="101"/>
      <c r="C5" s="236" t="s">
        <v>155</v>
      </c>
      <c r="D5" s="236"/>
      <c r="E5" s="236"/>
      <c r="F5" s="236"/>
      <c r="G5" s="236"/>
      <c r="H5" s="236"/>
      <c r="I5" s="236"/>
      <c r="J5" s="236"/>
      <c r="K5" s="239"/>
      <c r="O5" t="s">
        <v>284</v>
      </c>
    </row>
    <row r="6" spans="2:15" x14ac:dyDescent="0.25">
      <c r="B6" s="101"/>
      <c r="C6" s="102"/>
      <c r="D6" s="236" t="s">
        <v>153</v>
      </c>
      <c r="E6" s="236"/>
      <c r="F6" s="236"/>
      <c r="G6" s="236"/>
      <c r="H6" s="236"/>
      <c r="I6" s="236"/>
      <c r="J6" s="236"/>
      <c r="K6" s="239"/>
      <c r="O6" t="s">
        <v>289</v>
      </c>
    </row>
    <row r="7" spans="2:15" x14ac:dyDescent="0.25">
      <c r="B7" s="101"/>
      <c r="C7" s="102"/>
      <c r="D7" s="236" t="s">
        <v>154</v>
      </c>
      <c r="E7" s="236"/>
      <c r="F7" s="236"/>
      <c r="G7" s="236"/>
      <c r="H7" s="236"/>
      <c r="I7" s="236"/>
      <c r="J7" s="236"/>
      <c r="K7" s="239"/>
      <c r="O7" t="s">
        <v>322</v>
      </c>
    </row>
    <row r="8" spans="2:15" x14ac:dyDescent="0.25">
      <c r="B8" s="101"/>
      <c r="C8" s="102"/>
      <c r="D8" s="237" t="s">
        <v>156</v>
      </c>
      <c r="E8" s="237"/>
      <c r="F8" s="237"/>
      <c r="G8" s="237"/>
      <c r="H8" s="237"/>
      <c r="I8" s="237"/>
      <c r="J8" s="237"/>
      <c r="K8" s="238"/>
      <c r="O8" t="s">
        <v>323</v>
      </c>
    </row>
    <row r="9" spans="2:15" x14ac:dyDescent="0.25">
      <c r="B9" s="101"/>
      <c r="C9" s="102"/>
      <c r="D9" s="102"/>
      <c r="E9" s="102"/>
      <c r="F9" s="102"/>
      <c r="G9" s="102"/>
      <c r="H9" s="102"/>
      <c r="I9" s="102"/>
      <c r="J9" s="102"/>
      <c r="K9" s="103"/>
      <c r="O9" t="s">
        <v>396</v>
      </c>
    </row>
    <row r="10" spans="2:15" ht="15" customHeight="1" x14ac:dyDescent="0.25">
      <c r="B10" s="240" t="s">
        <v>467</v>
      </c>
      <c r="C10" s="241"/>
      <c r="D10" s="241"/>
      <c r="E10" s="241"/>
      <c r="F10" s="241"/>
      <c r="G10" s="241"/>
      <c r="H10" s="241"/>
      <c r="I10" s="242" t="s">
        <v>562</v>
      </c>
      <c r="J10" s="242"/>
      <c r="K10" s="242"/>
      <c r="O10" t="s">
        <v>430</v>
      </c>
    </row>
    <row r="11" spans="2:15" ht="15" customHeight="1" x14ac:dyDescent="0.25">
      <c r="B11" s="240" t="s">
        <v>468</v>
      </c>
      <c r="C11" s="241"/>
      <c r="D11" s="241"/>
      <c r="E11" s="241"/>
      <c r="F11" s="241"/>
      <c r="G11" s="241"/>
      <c r="H11" s="247"/>
      <c r="I11" s="243">
        <f>INDEX(town_population[Pop Share of State],MATCH(I10,town_population[Municipality]))</f>
        <v>4.8531444864127922E-3</v>
      </c>
      <c r="J11" s="244"/>
      <c r="K11" s="245"/>
      <c r="O11" t="s">
        <v>432</v>
      </c>
    </row>
    <row r="12" spans="2:15" ht="15" customHeight="1" x14ac:dyDescent="0.25">
      <c r="B12" s="204" t="s">
        <v>506</v>
      </c>
      <c r="C12" s="205"/>
      <c r="D12" s="205"/>
      <c r="E12" s="205"/>
      <c r="F12" s="205"/>
      <c r="G12" s="205"/>
      <c r="H12" s="205"/>
      <c r="I12" s="243">
        <f>INDEX(town_population[Pop Share of Region],MATCH(I10,town_population[Municipality],0))</f>
        <v>9.1416176014874487E-4</v>
      </c>
      <c r="J12" s="244"/>
      <c r="K12" s="245"/>
    </row>
    <row r="13" spans="2:15" ht="15" customHeight="1" x14ac:dyDescent="0.25">
      <c r="B13" s="257" t="s">
        <v>498</v>
      </c>
      <c r="C13" s="258"/>
      <c r="D13" s="258"/>
      <c r="E13" s="258"/>
      <c r="F13" s="258"/>
      <c r="G13" s="258"/>
      <c r="H13" s="258"/>
      <c r="I13" s="258"/>
      <c r="J13" s="258"/>
      <c r="K13" s="259"/>
    </row>
    <row r="14" spans="2:15" ht="15" customHeight="1" x14ac:dyDescent="0.25">
      <c r="B14" s="206" t="s">
        <v>512</v>
      </c>
      <c r="C14" s="207"/>
      <c r="D14" s="207"/>
      <c r="E14" s="207"/>
      <c r="F14" s="207"/>
      <c r="G14" s="207"/>
      <c r="H14" s="207"/>
      <c r="I14" s="254" t="e">
        <f>INDEX(town_establishments[share of state establishments],MATCH(I10,town_establishments[Municipality],0))</f>
        <v>#N/A</v>
      </c>
      <c r="J14" s="255"/>
      <c r="K14" s="256"/>
    </row>
    <row r="15" spans="2:15" ht="15" customHeight="1" x14ac:dyDescent="0.25">
      <c r="B15" s="206" t="s">
        <v>513</v>
      </c>
      <c r="C15" s="207"/>
      <c r="D15" s="207"/>
      <c r="E15" s="207"/>
      <c r="F15" s="207"/>
      <c r="G15" s="207"/>
      <c r="H15" s="207"/>
      <c r="I15" s="243" t="e">
        <f>INDEX(town_establishments[share of regional establishments],MATCH(I10,town_establishments[Municipality],0))</f>
        <v>#N/A</v>
      </c>
      <c r="J15" s="244"/>
      <c r="K15" s="245"/>
    </row>
    <row r="16" spans="2:15" ht="15" customHeight="1" x14ac:dyDescent="0.25">
      <c r="B16" s="257" t="s">
        <v>498</v>
      </c>
      <c r="C16" s="258"/>
      <c r="D16" s="258"/>
      <c r="E16" s="258"/>
      <c r="F16" s="258"/>
      <c r="G16" s="258"/>
      <c r="H16" s="258"/>
      <c r="I16" s="258"/>
      <c r="J16" s="258"/>
      <c r="K16" s="259"/>
    </row>
    <row r="17" spans="1:15" ht="15" customHeight="1" x14ac:dyDescent="0.25">
      <c r="B17" s="197"/>
      <c r="C17" s="198"/>
      <c r="D17" s="198"/>
      <c r="E17" s="198"/>
      <c r="F17" s="198"/>
      <c r="G17" s="198"/>
      <c r="H17" s="198"/>
      <c r="I17" s="191"/>
      <c r="J17" s="191"/>
      <c r="K17" s="200"/>
    </row>
    <row r="18" spans="1:15" x14ac:dyDescent="0.25">
      <c r="B18" s="197" t="s">
        <v>493</v>
      </c>
      <c r="C18" s="195"/>
      <c r="D18" s="195"/>
      <c r="E18" s="195"/>
      <c r="F18" s="195"/>
      <c r="G18" s="195"/>
      <c r="H18" s="195"/>
      <c r="I18" s="195"/>
      <c r="J18" s="195"/>
      <c r="K18" s="196"/>
    </row>
    <row r="19" spans="1:15" x14ac:dyDescent="0.25">
      <c r="B19" s="197" t="s">
        <v>499</v>
      </c>
      <c r="C19" s="195"/>
      <c r="D19" s="195"/>
      <c r="E19" s="195"/>
      <c r="F19" s="195"/>
      <c r="G19" s="195"/>
      <c r="H19" s="195"/>
      <c r="I19" s="195"/>
      <c r="J19" s="195"/>
      <c r="K19" s="196"/>
    </row>
    <row r="20" spans="1:15" ht="15" customHeight="1" x14ac:dyDescent="0.25">
      <c r="B20" s="101"/>
      <c r="C20" s="236" t="s">
        <v>157</v>
      </c>
      <c r="D20" s="236"/>
      <c r="E20" s="236"/>
      <c r="F20" s="236"/>
      <c r="G20" s="236"/>
      <c r="H20" s="236"/>
      <c r="I20" s="201" t="s">
        <v>496</v>
      </c>
      <c r="J20" s="102"/>
      <c r="K20" s="103"/>
    </row>
    <row r="21" spans="1:15" ht="15" customHeight="1" x14ac:dyDescent="0.25">
      <c r="B21" s="101"/>
      <c r="C21" s="236" t="s">
        <v>494</v>
      </c>
      <c r="D21" s="236"/>
      <c r="E21" s="236"/>
      <c r="F21" s="236"/>
      <c r="G21" s="236"/>
      <c r="H21" s="246"/>
      <c r="I21" s="202" t="s">
        <v>495</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8" t="s">
        <v>500</v>
      </c>
      <c r="C23" s="249"/>
      <c r="D23" s="249"/>
      <c r="E23" s="249"/>
      <c r="F23" s="249"/>
      <c r="G23" s="249"/>
      <c r="H23" s="249"/>
      <c r="I23" s="249"/>
      <c r="J23" s="249"/>
      <c r="K23" s="250"/>
      <c r="O23" s="100"/>
    </row>
    <row r="24" spans="1:15" s="177" customFormat="1" x14ac:dyDescent="0.25">
      <c r="A24" s="199"/>
      <c r="B24" s="248"/>
      <c r="C24" s="249"/>
      <c r="D24" s="249"/>
      <c r="E24" s="249"/>
      <c r="F24" s="249"/>
      <c r="G24" s="249"/>
      <c r="H24" s="249"/>
      <c r="I24" s="249"/>
      <c r="J24" s="249"/>
      <c r="K24" s="250"/>
      <c r="O24" s="100"/>
    </row>
    <row r="25" spans="1:15" x14ac:dyDescent="0.25">
      <c r="B25" s="251"/>
      <c r="C25" s="252"/>
      <c r="D25" s="252"/>
      <c r="E25" s="252"/>
      <c r="F25" s="252"/>
      <c r="G25" s="252"/>
      <c r="H25" s="252"/>
      <c r="I25" s="252"/>
      <c r="J25" s="252"/>
      <c r="K25" s="253"/>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9" zoomScale="70" zoomScaleNormal="70" workbookViewId="0">
      <selection activeCell="B38" sqref="B38"/>
    </sheetView>
  </sheetViews>
  <sheetFormatPr defaultRowHeight="15" x14ac:dyDescent="0.25"/>
  <cols>
    <col min="1" max="1" width="2.5703125" style="32" bestFit="1" customWidth="1"/>
    <col min="2" max="14" width="15.85546875" customWidth="1"/>
  </cols>
  <sheetData>
    <row r="2" spans="1:16" ht="18.75" x14ac:dyDescent="0.3">
      <c r="B2" s="115" t="s">
        <v>481</v>
      </c>
    </row>
    <row r="3" spans="1:16" ht="14.25" customHeight="1" x14ac:dyDescent="0.3">
      <c r="B3" s="51"/>
    </row>
    <row r="5" spans="1:16" ht="36" customHeight="1" x14ac:dyDescent="0.25">
      <c r="B5" s="122">
        <f>SUM(B26,B38)</f>
        <v>45868.544581363632</v>
      </c>
      <c r="C5" s="264" t="s">
        <v>480</v>
      </c>
      <c r="D5" s="261"/>
      <c r="E5" s="261"/>
      <c r="F5" s="261"/>
      <c r="G5" s="261"/>
      <c r="H5" s="261"/>
      <c r="I5" s="261"/>
      <c r="J5" s="261"/>
      <c r="K5" s="261"/>
      <c r="L5" s="261"/>
      <c r="M5" s="261"/>
      <c r="N5" s="261"/>
    </row>
    <row r="7" spans="1:16" x14ac:dyDescent="0.25">
      <c r="C7" s="53" t="s">
        <v>70</v>
      </c>
    </row>
    <row r="8" spans="1:16" x14ac:dyDescent="0.25">
      <c r="C8" s="25"/>
    </row>
    <row r="9" spans="1:16" ht="36" customHeight="1" x14ac:dyDescent="0.25">
      <c r="A9" s="32">
        <v>1</v>
      </c>
      <c r="B9" s="116">
        <v>611</v>
      </c>
      <c r="C9" s="265" t="s">
        <v>482</v>
      </c>
      <c r="D9" s="261"/>
      <c r="E9" s="261"/>
      <c r="F9" s="261"/>
      <c r="G9" s="261"/>
      <c r="H9" s="261"/>
      <c r="I9" s="261"/>
      <c r="J9" s="261"/>
      <c r="K9" s="261"/>
      <c r="L9" s="261"/>
      <c r="M9" s="261"/>
      <c r="N9" s="261"/>
    </row>
    <row r="10" spans="1:16" ht="36" customHeight="1" x14ac:dyDescent="0.25">
      <c r="B10" s="21"/>
      <c r="C10" s="31"/>
      <c r="D10" s="125" t="s">
        <v>60</v>
      </c>
      <c r="E10" s="266" t="s">
        <v>64</v>
      </c>
      <c r="F10" s="266"/>
      <c r="G10" s="262" t="s">
        <v>61</v>
      </c>
      <c r="H10" s="262"/>
      <c r="I10" s="262"/>
      <c r="J10" s="262"/>
      <c r="K10" s="262"/>
      <c r="L10" s="262"/>
      <c r="M10" s="262"/>
      <c r="N10" s="262"/>
    </row>
    <row r="11" spans="1:16" ht="36" customHeight="1" x14ac:dyDescent="0.25">
      <c r="B11" s="21"/>
      <c r="C11" s="31"/>
      <c r="D11" s="125"/>
      <c r="E11" s="262" t="s">
        <v>65</v>
      </c>
      <c r="F11" s="262"/>
      <c r="G11" s="262" t="s">
        <v>170</v>
      </c>
      <c r="H11" s="262"/>
      <c r="I11" s="262"/>
      <c r="J11" s="262"/>
      <c r="K11" s="262"/>
      <c r="L11" s="262"/>
      <c r="M11" s="262"/>
      <c r="N11" s="262"/>
    </row>
    <row r="12" spans="1:16" ht="36" customHeight="1" x14ac:dyDescent="0.25">
      <c r="B12" s="21"/>
      <c r="C12" s="31"/>
      <c r="D12" s="125" t="s">
        <v>62</v>
      </c>
      <c r="E12" s="262" t="s">
        <v>63</v>
      </c>
      <c r="F12" s="262"/>
      <c r="G12" s="262"/>
      <c r="H12" s="262"/>
      <c r="I12" s="262"/>
      <c r="J12" s="262"/>
      <c r="K12" s="262"/>
      <c r="L12" s="262"/>
      <c r="M12" s="262"/>
      <c r="N12" s="262"/>
    </row>
    <row r="13" spans="1:16" ht="36" customHeight="1" x14ac:dyDescent="0.25">
      <c r="A13" s="32">
        <v>2</v>
      </c>
      <c r="B13" s="116">
        <v>14000</v>
      </c>
      <c r="C13" s="260" t="s">
        <v>483</v>
      </c>
      <c r="D13" s="261"/>
      <c r="E13" s="261"/>
      <c r="F13" s="261"/>
      <c r="G13" s="261"/>
      <c r="H13" s="261"/>
      <c r="I13" s="261"/>
      <c r="J13" s="261"/>
      <c r="K13" s="261"/>
      <c r="L13" s="261"/>
      <c r="M13" s="261"/>
      <c r="N13" s="261"/>
      <c r="O13" s="34">
        <f>B13/12500</f>
        <v>1.1200000000000001</v>
      </c>
      <c r="P13" s="184" t="s">
        <v>543</v>
      </c>
    </row>
    <row r="14" spans="1:16" ht="36" customHeight="1" x14ac:dyDescent="0.25">
      <c r="A14" s="32">
        <v>3</v>
      </c>
      <c r="B14" s="116">
        <v>22</v>
      </c>
      <c r="C14" s="260" t="s">
        <v>484</v>
      </c>
      <c r="D14" s="261"/>
      <c r="E14" s="261"/>
      <c r="F14" s="261"/>
      <c r="G14" s="261"/>
      <c r="H14" s="261"/>
      <c r="I14" s="261"/>
      <c r="J14" s="261"/>
      <c r="K14" s="261"/>
      <c r="L14" s="261"/>
      <c r="M14" s="261"/>
      <c r="N14" s="261"/>
    </row>
    <row r="15" spans="1:16" s="118" customFormat="1" ht="36" customHeight="1" x14ac:dyDescent="0.25">
      <c r="A15" s="117"/>
      <c r="D15" s="119">
        <v>0.4</v>
      </c>
      <c r="E15" s="261" t="s">
        <v>172</v>
      </c>
      <c r="F15" s="261"/>
      <c r="G15" s="261"/>
      <c r="H15" s="261"/>
      <c r="I15" s="261"/>
      <c r="J15" s="261"/>
      <c r="K15" s="261"/>
      <c r="L15" s="261"/>
      <c r="M15" s="261"/>
      <c r="N15" s="261"/>
    </row>
    <row r="16" spans="1:16" s="118" customFormat="1" ht="36" customHeight="1" x14ac:dyDescent="0.25">
      <c r="A16" s="117"/>
      <c r="D16" s="119">
        <f>150000/583770</f>
        <v>0.25695051133151753</v>
      </c>
      <c r="E16" s="261" t="s">
        <v>173</v>
      </c>
      <c r="F16" s="261"/>
      <c r="G16" s="261"/>
      <c r="H16" s="261"/>
      <c r="I16" s="261"/>
      <c r="J16" s="261"/>
      <c r="K16" s="261"/>
      <c r="L16" s="261"/>
      <c r="M16" s="261"/>
      <c r="N16" s="261"/>
    </row>
    <row r="17" spans="1:14" s="118" customFormat="1" ht="36" customHeight="1" x14ac:dyDescent="0.25">
      <c r="A17" s="117"/>
      <c r="D17" s="119">
        <v>0.86</v>
      </c>
      <c r="E17" s="261" t="s">
        <v>171</v>
      </c>
      <c r="F17" s="261"/>
      <c r="G17" s="261"/>
      <c r="H17" s="261"/>
      <c r="I17" s="261"/>
      <c r="J17" s="261"/>
      <c r="K17" s="261"/>
      <c r="L17" s="261"/>
      <c r="M17" s="261"/>
      <c r="N17" s="261"/>
    </row>
    <row r="18" spans="1:14" ht="36" customHeight="1" x14ac:dyDescent="0.25">
      <c r="B18" s="120">
        <f>B9*B13/B14</f>
        <v>388818.18181818182</v>
      </c>
      <c r="C18" s="262" t="s">
        <v>43</v>
      </c>
      <c r="D18" s="262"/>
      <c r="E18" s="262"/>
      <c r="F18" s="262"/>
      <c r="G18" s="262"/>
      <c r="H18" s="262"/>
      <c r="I18" s="262"/>
      <c r="J18" s="262"/>
      <c r="K18" s="262"/>
      <c r="L18" s="262"/>
      <c r="M18" s="262"/>
      <c r="N18" s="262"/>
    </row>
    <row r="19" spans="1:14" ht="36" customHeight="1" x14ac:dyDescent="0.25">
      <c r="A19" s="32">
        <v>4</v>
      </c>
      <c r="B19" s="121">
        <v>0.09</v>
      </c>
      <c r="C19" s="260" t="s">
        <v>485</v>
      </c>
      <c r="D19" s="261"/>
      <c r="E19" s="261"/>
      <c r="F19" s="261"/>
      <c r="G19" s="261"/>
      <c r="H19" s="261"/>
      <c r="I19" s="261"/>
      <c r="J19" s="261"/>
      <c r="K19" s="261"/>
      <c r="L19" s="261"/>
      <c r="M19" s="261"/>
      <c r="N19" s="261"/>
    </row>
    <row r="20" spans="1:14" ht="36" customHeight="1" x14ac:dyDescent="0.25">
      <c r="B20" s="120">
        <f>(1-B19)*B18</f>
        <v>353824.54545454547</v>
      </c>
      <c r="C20" s="261" t="s">
        <v>73</v>
      </c>
      <c r="D20" s="261"/>
      <c r="E20" s="261"/>
      <c r="F20" s="261"/>
      <c r="G20" s="261"/>
      <c r="H20" s="261"/>
      <c r="I20" s="261"/>
      <c r="J20" s="261"/>
      <c r="K20" s="261"/>
      <c r="L20" s="261"/>
      <c r="M20" s="261"/>
      <c r="N20" s="261"/>
    </row>
    <row r="21" spans="1:14" ht="36" customHeight="1" x14ac:dyDescent="0.25">
      <c r="B21" s="120">
        <f>fossilBtu</f>
        <v>121258.5</v>
      </c>
      <c r="C21" s="261" t="s">
        <v>174</v>
      </c>
      <c r="D21" s="261"/>
      <c r="E21" s="261"/>
      <c r="F21" s="261"/>
      <c r="G21" s="261"/>
      <c r="H21" s="261"/>
      <c r="I21" s="261"/>
      <c r="J21" s="261"/>
      <c r="K21" s="261"/>
      <c r="L21" s="261"/>
      <c r="M21" s="261"/>
      <c r="N21" s="261"/>
    </row>
    <row r="22" spans="1:14" ht="36" customHeight="1" x14ac:dyDescent="0.25">
      <c r="B22" s="120">
        <f>B20*B21/1000000</f>
        <v>42904.233645</v>
      </c>
      <c r="C22" s="261" t="s">
        <v>66</v>
      </c>
      <c r="D22" s="261"/>
      <c r="E22" s="261"/>
      <c r="F22" s="261"/>
      <c r="G22" s="261"/>
      <c r="H22" s="261"/>
      <c r="I22" s="261"/>
      <c r="J22" s="261"/>
      <c r="K22" s="261"/>
      <c r="L22" s="261"/>
      <c r="M22" s="261"/>
      <c r="N22" s="261"/>
    </row>
    <row r="23" spans="1:14" ht="36" customHeight="1" x14ac:dyDescent="0.25">
      <c r="B23" s="120">
        <f>B18-B20</f>
        <v>34993.636363636353</v>
      </c>
      <c r="C23" s="261" t="s">
        <v>67</v>
      </c>
      <c r="D23" s="261"/>
      <c r="E23" s="261"/>
      <c r="F23" s="261"/>
      <c r="G23" s="261"/>
      <c r="H23" s="261"/>
      <c r="I23" s="261"/>
      <c r="J23" s="261"/>
      <c r="K23" s="261"/>
      <c r="L23" s="261"/>
      <c r="M23" s="261"/>
      <c r="N23" s="261"/>
    </row>
    <row r="24" spans="1:14" ht="36" customHeight="1" x14ac:dyDescent="0.25">
      <c r="B24" s="120">
        <v>84710</v>
      </c>
      <c r="C24" s="261" t="s">
        <v>68</v>
      </c>
      <c r="D24" s="261"/>
      <c r="E24" s="261"/>
      <c r="F24" s="261"/>
      <c r="G24" s="261"/>
      <c r="H24" s="261"/>
      <c r="I24" s="261"/>
      <c r="J24" s="261"/>
      <c r="K24" s="261"/>
      <c r="L24" s="261"/>
      <c r="M24" s="261"/>
      <c r="N24" s="261"/>
    </row>
    <row r="25" spans="1:14" ht="36" customHeight="1" x14ac:dyDescent="0.25">
      <c r="B25" s="120">
        <f>B23*B24/1000000</f>
        <v>2964.3109363636354</v>
      </c>
      <c r="C25" s="261" t="s">
        <v>69</v>
      </c>
      <c r="D25" s="261"/>
      <c r="E25" s="261"/>
      <c r="F25" s="261"/>
      <c r="G25" s="261"/>
      <c r="H25" s="261"/>
      <c r="I25" s="261"/>
      <c r="J25" s="261"/>
      <c r="K25" s="261"/>
      <c r="L25" s="261"/>
      <c r="M25" s="261"/>
      <c r="N25" s="261"/>
    </row>
    <row r="26" spans="1:14" ht="36" customHeight="1" x14ac:dyDescent="0.25">
      <c r="B26" s="122">
        <f>B22+B25</f>
        <v>45868.544581363632</v>
      </c>
      <c r="C26" s="264" t="s">
        <v>71</v>
      </c>
      <c r="D26" s="261"/>
      <c r="E26" s="261"/>
      <c r="F26" s="261"/>
      <c r="G26" s="261"/>
      <c r="H26" s="261"/>
      <c r="I26" s="261"/>
      <c r="J26" s="261"/>
      <c r="K26" s="261"/>
      <c r="L26" s="261"/>
      <c r="M26" s="261"/>
      <c r="N26" s="261"/>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60" t="s">
        <v>501</v>
      </c>
      <c r="D32" s="261"/>
      <c r="E32" s="261"/>
      <c r="F32" s="261"/>
      <c r="G32" s="261"/>
      <c r="H32" s="261"/>
      <c r="I32" s="261"/>
      <c r="J32" s="261"/>
      <c r="K32" s="261"/>
      <c r="L32" s="261"/>
      <c r="M32" s="261"/>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2" t="s">
        <v>78</v>
      </c>
      <c r="D34" s="262"/>
      <c r="E34" s="262"/>
      <c r="F34" s="262"/>
      <c r="G34" s="262"/>
      <c r="H34" s="262"/>
      <c r="I34" s="262"/>
      <c r="J34" s="262"/>
      <c r="K34" s="262"/>
      <c r="L34" s="262"/>
      <c r="M34" s="262"/>
      <c r="N34" s="262"/>
    </row>
    <row r="35" spans="2:14" ht="36" customHeight="1" x14ac:dyDescent="0.25">
      <c r="B35" s="120">
        <v>3</v>
      </c>
      <c r="C35" s="262" t="s">
        <v>74</v>
      </c>
      <c r="D35" s="262"/>
      <c r="E35" s="262"/>
      <c r="F35" s="262"/>
      <c r="G35" s="262"/>
      <c r="H35" s="262"/>
      <c r="I35" s="262"/>
      <c r="J35" s="262"/>
      <c r="K35" s="262"/>
      <c r="L35" s="262"/>
      <c r="M35" s="262"/>
      <c r="N35" s="262"/>
    </row>
    <row r="36" spans="2:14" ht="36" customHeight="1" x14ac:dyDescent="0.25">
      <c r="B36" s="120">
        <f>B32*B34/B35</f>
        <v>0</v>
      </c>
      <c r="C36" s="262" t="s">
        <v>72</v>
      </c>
      <c r="D36" s="262"/>
      <c r="E36" s="262"/>
      <c r="F36" s="262"/>
      <c r="G36" s="262"/>
      <c r="H36" s="262"/>
      <c r="I36" s="262"/>
      <c r="J36" s="262"/>
      <c r="K36" s="262"/>
      <c r="L36" s="262"/>
      <c r="M36" s="262"/>
      <c r="N36" s="262"/>
    </row>
    <row r="37" spans="2:14" ht="36" customHeight="1" x14ac:dyDescent="0.25">
      <c r="B37" s="120">
        <v>3412</v>
      </c>
      <c r="C37" s="262" t="s">
        <v>176</v>
      </c>
      <c r="D37" s="262"/>
      <c r="E37" s="262"/>
      <c r="F37" s="262"/>
      <c r="G37" s="262"/>
      <c r="H37" s="262"/>
      <c r="I37" s="262"/>
      <c r="J37" s="262"/>
      <c r="K37" s="262"/>
      <c r="L37" s="262"/>
      <c r="M37" s="262"/>
      <c r="N37" s="262"/>
    </row>
    <row r="38" spans="2:14" ht="36" customHeight="1" x14ac:dyDescent="0.25">
      <c r="B38" s="122">
        <f>B36*B37/1000000</f>
        <v>0</v>
      </c>
      <c r="C38" s="263" t="s">
        <v>75</v>
      </c>
      <c r="D38" s="262"/>
      <c r="E38" s="262"/>
      <c r="F38" s="262"/>
      <c r="G38" s="262"/>
      <c r="H38" s="262"/>
      <c r="I38" s="262"/>
      <c r="J38" s="262"/>
      <c r="K38" s="262"/>
      <c r="L38" s="262"/>
      <c r="M38" s="262"/>
      <c r="N38" s="262"/>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486</v>
      </c>
    </row>
    <row r="2" spans="1:15" x14ac:dyDescent="0.25">
      <c r="A2" s="56"/>
      <c r="B2" s="53"/>
    </row>
    <row r="3" spans="1:15" x14ac:dyDescent="0.25">
      <c r="A3" s="56"/>
    </row>
    <row r="4" spans="1:15" ht="42.75" customHeight="1" x14ac:dyDescent="0.25">
      <c r="A4" s="56"/>
      <c r="B4" s="55" t="e">
        <f ca="1">SUM(B18,B43)</f>
        <v>#N/A</v>
      </c>
      <c r="C4" s="264" t="s">
        <v>91</v>
      </c>
      <c r="D4" s="261"/>
      <c r="E4" s="261"/>
      <c r="F4" s="261"/>
      <c r="G4" s="261"/>
      <c r="H4" s="261"/>
      <c r="I4" s="261"/>
      <c r="J4" s="261"/>
      <c r="K4" s="261"/>
      <c r="L4" s="261"/>
      <c r="M4" s="261"/>
      <c r="N4" s="261"/>
    </row>
    <row r="5" spans="1:15" x14ac:dyDescent="0.25">
      <c r="A5" s="56"/>
      <c r="B5" s="54"/>
    </row>
    <row r="6" spans="1:15" ht="18.75" x14ac:dyDescent="0.3">
      <c r="B6" s="54"/>
      <c r="C6" s="51" t="s">
        <v>80</v>
      </c>
    </row>
    <row r="7" spans="1:15" x14ac:dyDescent="0.25">
      <c r="B7" s="54"/>
      <c r="C7" s="25"/>
    </row>
    <row r="8" spans="1:15" ht="42.75" customHeight="1" x14ac:dyDescent="0.25">
      <c r="A8" s="54">
        <v>1</v>
      </c>
      <c r="B8" s="36">
        <v>21</v>
      </c>
      <c r="C8" s="270" t="s">
        <v>79</v>
      </c>
      <c r="D8" s="262"/>
      <c r="E8" s="262"/>
      <c r="F8" s="262"/>
      <c r="G8" s="262"/>
      <c r="H8" s="262"/>
      <c r="I8" s="262"/>
      <c r="J8" s="262"/>
      <c r="K8" s="262"/>
      <c r="L8" s="262"/>
      <c r="M8" s="262"/>
      <c r="N8" s="262"/>
    </row>
    <row r="9" spans="1:15" ht="42.75" customHeight="1" x14ac:dyDescent="0.25">
      <c r="B9" s="56"/>
      <c r="C9" s="26"/>
      <c r="D9" s="57" t="s">
        <v>92</v>
      </c>
      <c r="E9" s="269" t="s">
        <v>64</v>
      </c>
      <c r="F9" s="269"/>
      <c r="G9" s="262" t="s">
        <v>81</v>
      </c>
      <c r="H9" s="262"/>
      <c r="I9" s="262"/>
      <c r="J9" s="262"/>
      <c r="K9" s="262"/>
      <c r="L9" s="262"/>
      <c r="M9" s="262"/>
      <c r="N9" s="262"/>
    </row>
    <row r="10" spans="1:15" ht="52.5" customHeight="1" x14ac:dyDescent="0.25">
      <c r="A10" s="54">
        <v>2</v>
      </c>
      <c r="B10" s="36">
        <v>126.55</v>
      </c>
      <c r="C10" s="274" t="s">
        <v>542</v>
      </c>
      <c r="D10" s="271"/>
      <c r="E10" s="271"/>
      <c r="F10" s="271"/>
      <c r="G10" s="271"/>
      <c r="H10" s="271"/>
      <c r="I10" s="271"/>
      <c r="J10" s="271"/>
      <c r="K10" s="271"/>
      <c r="L10" s="271"/>
      <c r="M10" s="271"/>
      <c r="N10" s="271"/>
      <c r="O10" s="212">
        <f>SUM('2.Heat Targets'!E58,'2.Heat Targets'!E61,'2.Heat Targets'!E64,'2.Heat Targets'!E67)</f>
        <v>0.86519687864474715</v>
      </c>
    </row>
    <row r="11" spans="1:15" ht="42.75" customHeight="1" x14ac:dyDescent="0.25">
      <c r="B11" s="54"/>
      <c r="C11" s="59"/>
      <c r="D11" s="33" t="s">
        <v>58</v>
      </c>
      <c r="E11" s="271" t="s">
        <v>86</v>
      </c>
      <c r="F11" s="271"/>
      <c r="G11" s="271"/>
      <c r="H11" s="271"/>
      <c r="I11" s="271"/>
      <c r="J11" s="271"/>
      <c r="K11" s="271"/>
      <c r="L11" s="271"/>
      <c r="M11" s="271"/>
      <c r="N11" s="271"/>
    </row>
    <row r="12" spans="1:15" ht="42.75" customHeight="1" x14ac:dyDescent="0.25">
      <c r="B12" s="56"/>
      <c r="C12" s="60"/>
      <c r="D12" s="34">
        <v>0.26</v>
      </c>
      <c r="E12" s="271" t="s">
        <v>83</v>
      </c>
      <c r="F12" s="271"/>
      <c r="G12" s="271"/>
      <c r="H12" s="271"/>
      <c r="I12" s="271"/>
      <c r="J12" s="271"/>
      <c r="K12" s="271"/>
      <c r="L12" s="271"/>
      <c r="M12" s="271"/>
      <c r="N12" s="271"/>
    </row>
    <row r="13" spans="1:15" ht="42.75" customHeight="1" x14ac:dyDescent="0.25">
      <c r="B13" s="56"/>
      <c r="C13" s="60"/>
      <c r="D13" s="34">
        <v>0.5</v>
      </c>
      <c r="E13" s="271" t="s">
        <v>84</v>
      </c>
      <c r="F13" s="271"/>
      <c r="G13" s="271"/>
      <c r="H13" s="271"/>
      <c r="I13" s="271"/>
      <c r="J13" s="271"/>
      <c r="K13" s="271"/>
      <c r="L13" s="271"/>
      <c r="M13" s="271"/>
      <c r="N13" s="271"/>
    </row>
    <row r="14" spans="1:15" ht="42.75" customHeight="1" x14ac:dyDescent="0.25">
      <c r="B14" s="56"/>
      <c r="C14" s="60"/>
      <c r="D14" s="34">
        <v>0.2</v>
      </c>
      <c r="E14" s="271" t="s">
        <v>85</v>
      </c>
      <c r="F14" s="271"/>
      <c r="G14" s="271"/>
      <c r="H14" s="271"/>
      <c r="I14" s="271"/>
      <c r="J14" s="271"/>
      <c r="K14" s="271"/>
      <c r="L14" s="271"/>
      <c r="M14" s="271"/>
      <c r="N14" s="271"/>
    </row>
    <row r="15" spans="1:15" ht="42.75" customHeight="1" x14ac:dyDescent="0.25">
      <c r="B15" s="56"/>
      <c r="C15" s="60"/>
      <c r="D15" s="35">
        <v>2.2999999999999998</v>
      </c>
      <c r="E15" s="271" t="s">
        <v>87</v>
      </c>
      <c r="F15" s="271"/>
      <c r="G15" s="271"/>
      <c r="H15" s="271"/>
      <c r="I15" s="271"/>
      <c r="J15" s="271"/>
      <c r="K15" s="271"/>
      <c r="L15" s="271"/>
      <c r="M15" s="271"/>
      <c r="N15" s="271"/>
    </row>
    <row r="16" spans="1:15" ht="42.75" customHeight="1" x14ac:dyDescent="0.25">
      <c r="B16" s="56"/>
      <c r="C16" s="60"/>
      <c r="D16" s="34">
        <f>(20000*1.25)/257000</f>
        <v>9.727626459143969E-2</v>
      </c>
      <c r="E16" s="271" t="s">
        <v>93</v>
      </c>
      <c r="F16" s="271"/>
      <c r="G16" s="271"/>
      <c r="H16" s="271"/>
      <c r="I16" s="271"/>
      <c r="J16" s="271"/>
      <c r="K16" s="271"/>
      <c r="L16" s="271"/>
      <c r="M16" s="271"/>
      <c r="N16" s="271"/>
    </row>
    <row r="17" spans="1:17" x14ac:dyDescent="0.25">
      <c r="B17" s="56"/>
      <c r="C17" s="27"/>
      <c r="F17" s="26"/>
      <c r="G17" s="27"/>
      <c r="H17" s="27"/>
      <c r="I17" s="27"/>
      <c r="J17" s="27"/>
      <c r="K17" s="27"/>
      <c r="L17" s="27"/>
    </row>
    <row r="18" spans="1:17" ht="42.75" customHeight="1" x14ac:dyDescent="0.25">
      <c r="B18" s="55">
        <f>B8*B10</f>
        <v>2657.5499999999997</v>
      </c>
      <c r="C18" s="263" t="s">
        <v>90</v>
      </c>
      <c r="D18" s="262"/>
      <c r="E18" s="262"/>
      <c r="F18" s="262"/>
      <c r="G18" s="262"/>
      <c r="H18" s="262"/>
      <c r="I18" s="262"/>
      <c r="J18" s="262"/>
      <c r="K18" s="262"/>
      <c r="L18" s="262"/>
      <c r="M18" s="262"/>
      <c r="N18" s="262"/>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t="e">
        <f ca="1">K41</f>
        <v>#N/A</v>
      </c>
      <c r="C22" s="265" t="s">
        <v>539</v>
      </c>
      <c r="D22" s="261"/>
      <c r="E22" s="261"/>
      <c r="F22" s="261"/>
      <c r="G22" s="261"/>
      <c r="H22" s="261"/>
      <c r="I22" s="261"/>
      <c r="J22" s="261"/>
      <c r="K22" s="261"/>
      <c r="L22" s="261"/>
      <c r="M22" s="261"/>
      <c r="N22" s="261"/>
    </row>
    <row r="23" spans="1:17" s="58" customFormat="1" ht="32.25" customHeight="1" x14ac:dyDescent="0.25">
      <c r="A23" s="54"/>
      <c r="B23" s="54"/>
      <c r="D23" s="58" t="s">
        <v>60</v>
      </c>
      <c r="E23" s="28" t="s">
        <v>88</v>
      </c>
      <c r="G23" s="58" t="s">
        <v>89</v>
      </c>
    </row>
    <row r="24" spans="1:17" ht="78" customHeight="1" x14ac:dyDescent="0.25">
      <c r="A24" s="54">
        <v>2</v>
      </c>
      <c r="B24" s="36" t="e">
        <f ca="1">L41</f>
        <v>#N/A</v>
      </c>
      <c r="C24" s="267" t="s">
        <v>540</v>
      </c>
      <c r="D24" s="268"/>
      <c r="E24" s="268"/>
      <c r="F24" s="268"/>
      <c r="G24" s="268"/>
      <c r="H24" s="268"/>
      <c r="I24" s="268"/>
      <c r="J24" s="268"/>
      <c r="K24" s="268"/>
      <c r="L24" s="268"/>
      <c r="M24" s="268"/>
      <c r="N24" s="268"/>
      <c r="O24" s="212" t="e">
        <f ca="1">SUM('2.Heat Targets'!E76,'2.Heat Targets'!E79,'2.Heat Targets'!E82,'2.Heat Targets'!E85)</f>
        <v>#N/A</v>
      </c>
    </row>
    <row r="25" spans="1:17" x14ac:dyDescent="0.25">
      <c r="B25" s="54"/>
    </row>
    <row r="26" spans="1:17" ht="54" customHeight="1" x14ac:dyDescent="0.25">
      <c r="B26" s="54"/>
      <c r="D26" s="37" t="s">
        <v>59</v>
      </c>
      <c r="E26" s="49" t="s">
        <v>95</v>
      </c>
      <c r="F26" s="49" t="s">
        <v>470</v>
      </c>
      <c r="G26" s="49" t="s">
        <v>94</v>
      </c>
      <c r="H26" s="49" t="s">
        <v>531</v>
      </c>
      <c r="I26" s="49" t="s">
        <v>532</v>
      </c>
      <c r="J26" s="49" t="s">
        <v>533</v>
      </c>
      <c r="K26" s="49" t="s">
        <v>534</v>
      </c>
      <c r="L26" s="50" t="s">
        <v>535</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t="e">
        <f ca="1">INDEX(OFFSET(town_establishments[42. Wholesale trade],,C27-$C$27),MATCH(selected_town,town_establishments[Municipality],0),)</f>
        <v>#N/A</v>
      </c>
      <c r="L27" s="39" t="e">
        <f t="shared" ref="L27:L40" ca="1" si="1">IF(K27="","",K27/$K$41)</f>
        <v>#N/A</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t="e">
        <f ca="1">INDEX(OFFSET(town_establishments[42. Wholesale trade],,C28-$C$27),MATCH(selected_town,town_establishments[Municipality],0),)</f>
        <v>#N/A</v>
      </c>
      <c r="L28" s="41" t="e">
        <f t="shared" ca="1" si="1"/>
        <v>#N/A</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t="e">
        <f ca="1">INDEX(OFFSET(town_establishments[42. Wholesale trade],,C29-$C$27),MATCH(selected_town,town_establishments[Municipality],0),)</f>
        <v>#N/A</v>
      </c>
      <c r="L29" s="41" t="e">
        <f t="shared" ca="1" si="1"/>
        <v>#N/A</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t="e">
        <f ca="1">INDEX(OFFSET(town_establishments[42. Wholesale trade],,C30-$C$27),MATCH(selected_town,town_establishments[Municipality],0),)</f>
        <v>#N/A</v>
      </c>
      <c r="L30" s="41" t="e">
        <f t="shared" ca="1" si="1"/>
        <v>#N/A</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t="e">
        <f ca="1">INDEX(OFFSET(town_establishments[42. Wholesale trade],,C31-$C$27),MATCH(selected_town,town_establishments[Municipality],0),)</f>
        <v>#N/A</v>
      </c>
      <c r="L31" s="41" t="e">
        <f t="shared" ca="1" si="1"/>
        <v>#N/A</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t="e">
        <f ca="1">INDEX(OFFSET(town_establishments[42. Wholesale trade],,C32-$C$27),MATCH(selected_town,town_establishments[Municipality],0),)</f>
        <v>#N/A</v>
      </c>
      <c r="L32" s="41" t="e">
        <f t="shared" ca="1" si="1"/>
        <v>#N/A</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t="e">
        <f ca="1">INDEX(OFFSET(town_establishments[42. Wholesale trade],,C33-$C$27),MATCH(selected_town,town_establishments[Municipality],0),)</f>
        <v>#N/A</v>
      </c>
      <c r="L33" s="41" t="e">
        <f t="shared" ca="1" si="1"/>
        <v>#N/A</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t="e">
        <f ca="1">INDEX(OFFSET(town_establishments[42. Wholesale trade],,C34-$C$27),MATCH(selected_town,town_establishments[Municipality],0),)</f>
        <v>#N/A</v>
      </c>
      <c r="L34" s="41" t="e">
        <f t="shared" ca="1" si="1"/>
        <v>#N/A</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t="e">
        <f ca="1">INDEX(OFFSET(town_establishments[42. Wholesale trade],,C35-$C$27),MATCH(selected_town,town_establishments[Municipality],0),)</f>
        <v>#N/A</v>
      </c>
      <c r="L35" s="41" t="e">
        <f t="shared" ca="1" si="1"/>
        <v>#N/A</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t="e">
        <f ca="1">INDEX(OFFSET(town_establishments[42. Wholesale trade],,C36-$C$27),MATCH(selected_town,town_establishments[Municipality],0),)</f>
        <v>#N/A</v>
      </c>
      <c r="L36" s="41" t="e">
        <f t="shared" ca="1" si="1"/>
        <v>#N/A</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t="e">
        <f ca="1">INDEX(OFFSET(town_establishments[42. Wholesale trade],,C37-$C$27),MATCH(selected_town,town_establishments[Municipality],0),)</f>
        <v>#N/A</v>
      </c>
      <c r="L37" s="41" t="e">
        <f t="shared" ca="1" si="1"/>
        <v>#N/A</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t="e">
        <f ca="1">INDEX(OFFSET(town_establishments[42. Wholesale trade],,C38-$C$27),MATCH(selected_town,town_establishments[Municipality],0),)</f>
        <v>#N/A</v>
      </c>
      <c r="L38" s="41" t="e">
        <f t="shared" ca="1" si="1"/>
        <v>#N/A</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t="e">
        <f ca="1">INDEX(OFFSET(town_establishments[42. Wholesale trade],,C39-$C$27),MATCH(selected_town,town_establishments[Municipality],0),)</f>
        <v>#N/A</v>
      </c>
      <c r="L39" s="41" t="e">
        <f t="shared" ca="1" si="1"/>
        <v>#N/A</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t="e">
        <f ca="1">INDEX(OFFSET(town_establishments[42. Wholesale trade],,C40-$C$27),MATCH(selected_town,town_establishments[Municipality],0),)</f>
        <v>#N/A</v>
      </c>
      <c r="L40" s="41" t="e">
        <f t="shared" ca="1" si="1"/>
        <v>#N/A</v>
      </c>
      <c r="Q40" s="23"/>
    </row>
    <row r="41" spans="2:19" ht="33" customHeight="1" x14ac:dyDescent="0.25">
      <c r="B41" s="54"/>
      <c r="D41" s="42"/>
      <c r="E41" s="185">
        <f>SUM(E27:E40)</f>
        <v>18617</v>
      </c>
      <c r="F41" s="185"/>
      <c r="G41" s="185">
        <f>SUM(G27:G40)</f>
        <v>201453</v>
      </c>
      <c r="H41" s="43"/>
      <c r="I41" s="44">
        <v>13000000</v>
      </c>
      <c r="J41" s="43"/>
      <c r="K41" s="185" t="e">
        <f ca="1">SUM(K27:K40)</f>
        <v>#N/A</v>
      </c>
      <c r="L41" s="45" t="e">
        <f ca="1">SUMPRODUCT(J27:J40,L27:L40)</f>
        <v>#N/A</v>
      </c>
      <c r="M41" s="272" t="s">
        <v>541</v>
      </c>
      <c r="N41" s="273"/>
      <c r="O41" s="273"/>
      <c r="P41" s="273"/>
      <c r="Q41" s="273"/>
      <c r="R41" s="273"/>
      <c r="S41" s="273"/>
    </row>
    <row r="42" spans="2:19" ht="22.5" customHeight="1" x14ac:dyDescent="0.25">
      <c r="B42" s="54"/>
    </row>
    <row r="43" spans="2:19" ht="37.5" customHeight="1" x14ac:dyDescent="0.25">
      <c r="B43" s="55" t="e">
        <f ca="1">B22*B24</f>
        <v>#N/A</v>
      </c>
      <c r="C43" s="263" t="s">
        <v>487</v>
      </c>
      <c r="D43" s="262"/>
      <c r="E43" s="262"/>
      <c r="F43" s="262"/>
      <c r="G43" s="262"/>
      <c r="H43" s="262"/>
      <c r="I43" s="262"/>
      <c r="J43" s="262"/>
      <c r="K43" s="262"/>
      <c r="L43" s="262"/>
      <c r="M43" s="262"/>
      <c r="N43" s="262"/>
    </row>
    <row r="45" spans="2:19" ht="37.5" customHeight="1" x14ac:dyDescent="0.25">
      <c r="B45" s="194" t="e">
        <f ca="1">SUMPRODUCT(K27:K40,H27:H40)/SUMPRODUCT(E27:E40,H27:H40)</f>
        <v>#N/A</v>
      </c>
      <c r="C45" s="261" t="s">
        <v>488</v>
      </c>
      <c r="D45" s="261"/>
      <c r="E45" s="261"/>
      <c r="F45" s="261"/>
      <c r="G45" s="261"/>
      <c r="H45" s="261"/>
      <c r="I45" s="261"/>
      <c r="J45" s="261"/>
      <c r="K45" s="261"/>
      <c r="L45" s="261"/>
      <c r="M45" s="261"/>
      <c r="N45" s="261"/>
      <c r="O45" s="261"/>
    </row>
    <row r="52" spans="4:4" x14ac:dyDescent="0.25">
      <c r="D52" s="23"/>
    </row>
  </sheetData>
  <mergeCells count="17">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82" sqref="C82:E82"/>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489</v>
      </c>
    </row>
    <row r="4" spans="2:15" ht="19.5" customHeight="1" x14ac:dyDescent="0.25">
      <c r="B4" s="283" t="s">
        <v>490</v>
      </c>
      <c r="C4" s="284"/>
      <c r="D4" s="284"/>
      <c r="E4" s="284"/>
      <c r="F4" s="284"/>
      <c r="G4" s="284"/>
      <c r="H4" s="284"/>
      <c r="I4" s="284"/>
      <c r="J4" s="284"/>
      <c r="K4" s="284"/>
      <c r="L4" s="284"/>
      <c r="M4" s="284"/>
      <c r="N4" s="285"/>
    </row>
    <row r="5" spans="2:15" ht="19.5" customHeight="1" x14ac:dyDescent="0.25">
      <c r="B5" s="286"/>
      <c r="C5" s="287"/>
      <c r="D5" s="287"/>
      <c r="E5" s="287"/>
      <c r="F5" s="287"/>
      <c r="G5" s="287"/>
      <c r="H5" s="287"/>
      <c r="I5" s="287"/>
      <c r="J5" s="287"/>
      <c r="K5" s="287"/>
      <c r="L5" s="287"/>
      <c r="M5" s="287"/>
      <c r="N5" s="288"/>
    </row>
    <row r="6" spans="2:15" ht="19.5" customHeight="1" x14ac:dyDescent="0.25">
      <c r="B6" s="289"/>
      <c r="C6" s="290"/>
      <c r="D6" s="290"/>
      <c r="E6" s="290"/>
      <c r="F6" s="290"/>
      <c r="G6" s="290"/>
      <c r="H6" s="290"/>
      <c r="I6" s="290"/>
      <c r="J6" s="290"/>
      <c r="K6" s="290"/>
      <c r="L6" s="290"/>
      <c r="M6" s="290"/>
      <c r="N6" s="291"/>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2" t="s">
        <v>150</v>
      </c>
      <c r="N11" s="293"/>
      <c r="O11" s="294"/>
    </row>
    <row r="12" spans="2:15" x14ac:dyDescent="0.25">
      <c r="B12" s="1">
        <v>100</v>
      </c>
      <c r="C12" s="2" t="s">
        <v>99</v>
      </c>
      <c r="D12" s="2"/>
      <c r="E12" s="2"/>
      <c r="F12" s="2"/>
      <c r="G12" s="2"/>
      <c r="H12" s="2"/>
      <c r="I12" s="2"/>
      <c r="J12" s="2"/>
      <c r="K12" s="3"/>
      <c r="M12" s="295"/>
      <c r="N12" s="296"/>
      <c r="O12" s="297"/>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2" t="s">
        <v>168</v>
      </c>
      <c r="N14" s="293"/>
      <c r="O14" s="294"/>
    </row>
    <row r="15" spans="2:15" x14ac:dyDescent="0.25">
      <c r="B15" s="1">
        <v>100</v>
      </c>
      <c r="C15" s="114" t="s">
        <v>164</v>
      </c>
      <c r="D15" s="2"/>
      <c r="E15" s="2"/>
      <c r="F15" s="2"/>
      <c r="G15" s="2"/>
      <c r="H15" s="2"/>
      <c r="I15" s="2"/>
      <c r="J15" s="2"/>
      <c r="K15" s="3"/>
      <c r="M15" s="295"/>
      <c r="N15" s="296"/>
      <c r="O15" s="297"/>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2" t="s">
        <v>169</v>
      </c>
      <c r="N17" s="293"/>
      <c r="O17" s="294"/>
    </row>
    <row r="18" spans="2:18" x14ac:dyDescent="0.25">
      <c r="B18" s="1">
        <v>100</v>
      </c>
      <c r="C18" s="2" t="s">
        <v>161</v>
      </c>
      <c r="D18" s="2"/>
      <c r="E18" s="2"/>
      <c r="F18" s="2"/>
      <c r="G18" s="2"/>
      <c r="H18" s="2"/>
      <c r="I18" s="2"/>
      <c r="J18" s="2"/>
      <c r="K18" s="3"/>
      <c r="M18" s="295"/>
      <c r="N18" s="296"/>
      <c r="O18" s="297"/>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4650.3408738766648</v>
      </c>
      <c r="C24" s="129">
        <f>'LEAP Region'!C14*1000</f>
        <v>3898.8999070343971</v>
      </c>
      <c r="D24" s="129">
        <f>'LEAP Region'!D14*1000</f>
        <v>3221.506042764177</v>
      </c>
      <c r="E24" s="130">
        <f>'LEAP Region'!E14*1000</f>
        <v>2198.5590331577314</v>
      </c>
      <c r="G24" s="276" t="s">
        <v>122</v>
      </c>
      <c r="H24" s="276"/>
      <c r="I24" s="276"/>
      <c r="J24" s="276"/>
      <c r="K24" s="276"/>
      <c r="L24" s="276"/>
      <c r="M24" s="276"/>
      <c r="N24" s="276"/>
    </row>
    <row r="25" spans="2:18" ht="56.25" customHeight="1" x14ac:dyDescent="0.25">
      <c r="B25" s="178">
        <f>('LEAP Region'!B7+'LEAP Region'!B8)*(2.4-1)*1000</f>
        <v>37.11496746203904</v>
      </c>
      <c r="C25" s="179">
        <f>('LEAP Region'!C7+'LEAP Region'!C8)*(2.6-1)*1000</f>
        <v>198.92159900836688</v>
      </c>
      <c r="D25" s="179">
        <f>('LEAP Region'!D7+'LEAP Region'!D8)*(2.8-1)*1000</f>
        <v>391.62689804772225</v>
      </c>
      <c r="E25" s="180">
        <f>('LEAP Region'!E7+'LEAP Region'!E8)*(2.3-1)*1000</f>
        <v>419.50883173225901</v>
      </c>
      <c r="G25" s="276" t="s">
        <v>178</v>
      </c>
      <c r="H25" s="276"/>
      <c r="I25" s="276"/>
      <c r="J25" s="276"/>
      <c r="K25" s="276"/>
      <c r="L25" s="276"/>
      <c r="M25" s="276"/>
      <c r="N25" s="276"/>
    </row>
    <row r="26" spans="2:18" ht="56.25" customHeight="1" x14ac:dyDescent="0.25">
      <c r="B26" s="128">
        <f>'LEAP Region'!H14*1000</f>
        <v>4530.5856832971804</v>
      </c>
      <c r="C26" s="129">
        <f>'LEAP Region'!I14*1000</f>
        <v>3698.6984815618216</v>
      </c>
      <c r="D26" s="129">
        <f>'LEAP Region'!J14*1000</f>
        <v>2797.3349860551589</v>
      </c>
      <c r="E26" s="130">
        <f>'LEAP Region'!K14*1000</f>
        <v>1576.0148744964361</v>
      </c>
      <c r="G26" s="276" t="s">
        <v>123</v>
      </c>
      <c r="H26" s="276"/>
      <c r="I26" s="276"/>
      <c r="J26" s="276"/>
      <c r="K26" s="276"/>
      <c r="L26" s="276"/>
      <c r="M26" s="276"/>
      <c r="N26" s="276"/>
    </row>
    <row r="27" spans="2:18" ht="56.25" customHeight="1" thickBot="1" x14ac:dyDescent="0.3">
      <c r="B27" s="181">
        <f>('LEAP Region'!H7+'LEAP Region'!H8)*(2.4-1)*1000</f>
        <v>49.913232104121462</v>
      </c>
      <c r="C27" s="182">
        <f>('LEAP Region'!I7+'LEAP Region'!I8)*(2.6-1)*1000</f>
        <v>228.17477533312675</v>
      </c>
      <c r="D27" s="182">
        <f>('LEAP Region'!J7+'LEAP Region'!J8)*(2.8-1)*1000</f>
        <v>518.32971800433836</v>
      </c>
      <c r="E27" s="183">
        <f>('LEAP Region'!K7+'LEAP Region'!K8)*(3-1)*1000</f>
        <v>724.01611403780589</v>
      </c>
      <c r="G27" s="276" t="s">
        <v>178</v>
      </c>
      <c r="H27" s="276"/>
      <c r="I27" s="276"/>
      <c r="J27" s="276"/>
      <c r="K27" s="276"/>
      <c r="L27" s="276"/>
      <c r="M27" s="276"/>
      <c r="N27" s="276"/>
    </row>
    <row r="28" spans="2:18" ht="56.25" customHeight="1" thickTop="1" x14ac:dyDescent="0.25">
      <c r="B28" s="128">
        <f>B24+B25-B26-B27</f>
        <v>106.95692593740215</v>
      </c>
      <c r="C28" s="129">
        <f>C24+C25-C26-C27</f>
        <v>170.9482491478154</v>
      </c>
      <c r="D28" s="129">
        <f>D24+D25-D26-D27</f>
        <v>297.46823675240182</v>
      </c>
      <c r="E28" s="130">
        <f>E24+E25-E26-E27</f>
        <v>318.03687635574829</v>
      </c>
      <c r="G28" s="276" t="s">
        <v>177</v>
      </c>
      <c r="H28" s="276"/>
      <c r="I28" s="276"/>
      <c r="J28" s="276"/>
      <c r="K28" s="276"/>
      <c r="L28" s="276"/>
      <c r="M28" s="276"/>
      <c r="N28" s="276"/>
    </row>
    <row r="29" spans="2:18" ht="56.25" customHeight="1" x14ac:dyDescent="0.25">
      <c r="B29" s="277">
        <f>0.25*'1.Current Heat'!B10</f>
        <v>31.637499999999999</v>
      </c>
      <c r="C29" s="278"/>
      <c r="D29" s="278"/>
      <c r="E29" s="279"/>
      <c r="G29" s="276" t="s">
        <v>124</v>
      </c>
      <c r="H29" s="276"/>
      <c r="I29" s="276"/>
      <c r="J29" s="276"/>
      <c r="K29" s="276"/>
      <c r="L29" s="276"/>
      <c r="M29" s="276"/>
      <c r="N29" s="276"/>
      <c r="R29">
        <v>60</v>
      </c>
    </row>
    <row r="30" spans="2:18" ht="56.25" customHeight="1" x14ac:dyDescent="0.25">
      <c r="B30" s="128">
        <f>B28/$B$29</f>
        <v>3.3807009383611901</v>
      </c>
      <c r="C30" s="129">
        <f>C28/$B$29</f>
        <v>5.4033425254149474</v>
      </c>
      <c r="D30" s="129">
        <f>D28/$B$29</f>
        <v>9.4023938918183116</v>
      </c>
      <c r="E30" s="130">
        <f>E28/$B$29</f>
        <v>10.052528687656999</v>
      </c>
      <c r="G30" s="276" t="s">
        <v>125</v>
      </c>
      <c r="H30" s="276"/>
      <c r="I30" s="276"/>
      <c r="J30" s="276"/>
      <c r="K30" s="276"/>
      <c r="L30" s="276"/>
      <c r="M30" s="276"/>
      <c r="N30" s="276"/>
      <c r="R30">
        <v>96</v>
      </c>
    </row>
    <row r="31" spans="2:18" ht="56.25" customHeight="1" x14ac:dyDescent="0.25">
      <c r="B31" s="131">
        <f>'1.Current Heat'!B8</f>
        <v>21</v>
      </c>
      <c r="C31" s="132">
        <f t="shared" ref="C31:E31" si="0">B31*1.06</f>
        <v>22.26</v>
      </c>
      <c r="D31" s="132">
        <f t="shared" si="0"/>
        <v>23.595600000000005</v>
      </c>
      <c r="E31" s="133">
        <f t="shared" si="0"/>
        <v>25.011336000000007</v>
      </c>
      <c r="G31" s="276" t="s">
        <v>126</v>
      </c>
      <c r="H31" s="276"/>
      <c r="I31" s="276"/>
      <c r="J31" s="276"/>
      <c r="K31" s="276"/>
      <c r="L31" s="276"/>
      <c r="M31" s="276"/>
      <c r="N31" s="276"/>
      <c r="O31" s="186">
        <f>(E31/B31)^(1/(E23-B23))-1</f>
        <v>5.006971033976404E-3</v>
      </c>
      <c r="R31">
        <f>R29+R30</f>
        <v>156</v>
      </c>
    </row>
    <row r="32" spans="2:18" ht="56.25" customHeight="1" x14ac:dyDescent="0.25">
      <c r="B32" s="134">
        <f>B30/B31</f>
        <v>0.16098575896958048</v>
      </c>
      <c r="C32" s="135">
        <f>C30/C31</f>
        <v>0.2427377594526032</v>
      </c>
      <c r="D32" s="135">
        <f>D30/D31</f>
        <v>0.39848081387285383</v>
      </c>
      <c r="E32" s="136">
        <f>E30/E31</f>
        <v>0.40191890139962916</v>
      </c>
      <c r="G32" s="276" t="s">
        <v>183</v>
      </c>
      <c r="H32" s="276"/>
      <c r="I32" s="276"/>
      <c r="J32" s="276"/>
      <c r="K32" s="276"/>
      <c r="L32" s="276"/>
      <c r="M32" s="276"/>
      <c r="N32" s="276"/>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t="e">
        <f>('LEAP Region'!N11-'LEAP Region'!N6)*1000</f>
        <v>#N/A</v>
      </c>
      <c r="C37" s="129" t="e">
        <f>('LEAP Region'!O11-'LEAP Region'!O6)*1000</f>
        <v>#N/A</v>
      </c>
      <c r="D37" s="129" t="e">
        <f>('LEAP Region'!P11-'LEAP Region'!P6)*1000</f>
        <v>#N/A</v>
      </c>
      <c r="E37" s="130" t="e">
        <f>('LEAP Region'!Q11-'LEAP Region'!Q6)*1000</f>
        <v>#N/A</v>
      </c>
      <c r="G37" s="276" t="s">
        <v>179</v>
      </c>
      <c r="H37" s="276"/>
      <c r="I37" s="276"/>
      <c r="J37" s="276"/>
      <c r="K37" s="276"/>
      <c r="L37" s="276"/>
      <c r="M37" s="276"/>
      <c r="N37" s="276"/>
    </row>
    <row r="38" spans="2:34" ht="56.25" customHeight="1" x14ac:dyDescent="0.25">
      <c r="B38" s="128" t="e">
        <f>'LEAP Region'!N6*1000</f>
        <v>#N/A</v>
      </c>
      <c r="C38" s="129" t="e">
        <f>'LEAP Region'!O6*1000</f>
        <v>#N/A</v>
      </c>
      <c r="D38" s="129" t="e">
        <f>'LEAP Region'!P6*1000</f>
        <v>#N/A</v>
      </c>
      <c r="E38" s="130" t="e">
        <f>'LEAP Region'!Q6*1000</f>
        <v>#N/A</v>
      </c>
      <c r="F38" s="184"/>
      <c r="G38" s="276" t="s">
        <v>97</v>
      </c>
      <c r="H38" s="276"/>
      <c r="I38" s="276"/>
      <c r="J38" s="276"/>
      <c r="K38" s="276"/>
      <c r="L38" s="276"/>
      <c r="M38" s="276"/>
      <c r="N38" s="276"/>
    </row>
    <row r="39" spans="2:34" ht="56.25" customHeight="1" x14ac:dyDescent="0.25">
      <c r="B39" s="128" t="e">
        <f>0.005*B38</f>
        <v>#N/A</v>
      </c>
      <c r="C39" s="129" t="e">
        <f>B39-(($B$39-$E$39)/3)</f>
        <v>#N/A</v>
      </c>
      <c r="D39" s="129" t="e">
        <f>C39-(($B$39-$E$39)/3)</f>
        <v>#N/A</v>
      </c>
      <c r="E39" s="130" t="e">
        <f>0.05*E38</f>
        <v>#N/A</v>
      </c>
      <c r="G39" s="276" t="s">
        <v>195</v>
      </c>
      <c r="H39" s="276"/>
      <c r="I39" s="276"/>
      <c r="J39" s="276"/>
      <c r="K39" s="276"/>
      <c r="L39" s="276"/>
      <c r="M39" s="276"/>
      <c r="N39" s="276"/>
      <c r="V39" s="21"/>
      <c r="W39" s="21"/>
      <c r="X39" s="21"/>
      <c r="Y39" s="21"/>
      <c r="AH39" s="21"/>
    </row>
    <row r="40" spans="2:34" ht="56.25" customHeight="1" x14ac:dyDescent="0.25">
      <c r="B40" s="142" t="e">
        <f>B39*(2.4-1)</f>
        <v>#N/A</v>
      </c>
      <c r="C40" s="143" t="e">
        <f>C39*(2.6-1)</f>
        <v>#N/A</v>
      </c>
      <c r="D40" s="143" t="e">
        <f>D39*(2.8-1)</f>
        <v>#N/A</v>
      </c>
      <c r="E40" s="144" t="e">
        <f>E39*(3-1)</f>
        <v>#N/A</v>
      </c>
      <c r="G40" s="276" t="s">
        <v>196</v>
      </c>
      <c r="H40" s="276"/>
      <c r="I40" s="276"/>
      <c r="J40" s="276"/>
      <c r="K40" s="276"/>
      <c r="L40" s="276"/>
      <c r="M40" s="276"/>
      <c r="N40" s="276"/>
      <c r="V40" s="21"/>
      <c r="W40" s="21"/>
      <c r="X40" s="21"/>
      <c r="Y40" s="21"/>
      <c r="AH40" s="21"/>
    </row>
    <row r="41" spans="2:34" ht="56.25" customHeight="1" x14ac:dyDescent="0.25">
      <c r="B41" s="128" t="e">
        <f>('LEAP Region'!T11-'LEAP Region'!T6)*1000</f>
        <v>#N/A</v>
      </c>
      <c r="C41" s="129" t="e">
        <f>('LEAP Region'!U11-'LEAP Region'!U6)*1000</f>
        <v>#N/A</v>
      </c>
      <c r="D41" s="129" t="e">
        <f>('LEAP Region'!V11-'LEAP Region'!V6)*1000</f>
        <v>#N/A</v>
      </c>
      <c r="E41" s="130" t="e">
        <f>('LEAP Region'!W11-'LEAP Region'!W6)*1000</f>
        <v>#N/A</v>
      </c>
      <c r="G41" s="276" t="s">
        <v>197</v>
      </c>
      <c r="H41" s="276"/>
      <c r="I41" s="276"/>
      <c r="J41" s="276"/>
      <c r="K41" s="276"/>
      <c r="L41" s="276"/>
      <c r="M41" s="276"/>
      <c r="N41" s="276"/>
      <c r="AH41" s="21"/>
    </row>
    <row r="42" spans="2:34" ht="56.25" customHeight="1" x14ac:dyDescent="0.25">
      <c r="B42" s="128" t="e">
        <f>'LEAP Region'!T6*1000</f>
        <v>#N/A</v>
      </c>
      <c r="C42" s="129" t="e">
        <f>'LEAP Region'!U6*1000</f>
        <v>#N/A</v>
      </c>
      <c r="D42" s="129" t="e">
        <f>'LEAP Region'!V6*1000</f>
        <v>#N/A</v>
      </c>
      <c r="E42" s="130" t="e">
        <f>'LEAP Region'!W6*1000</f>
        <v>#N/A</v>
      </c>
      <c r="G42" s="276" t="s">
        <v>98</v>
      </c>
      <c r="H42" s="276"/>
      <c r="I42" s="276"/>
      <c r="J42" s="276"/>
      <c r="K42" s="276"/>
      <c r="L42" s="276"/>
      <c r="M42" s="276"/>
      <c r="N42" s="276"/>
      <c r="V42" s="29"/>
      <c r="W42" s="29"/>
      <c r="X42" s="29"/>
      <c r="Y42" s="29"/>
      <c r="AH42" s="21"/>
    </row>
    <row r="43" spans="2:34" ht="56.25" customHeight="1" x14ac:dyDescent="0.25">
      <c r="B43" s="128" t="e">
        <f>B39</f>
        <v>#N/A</v>
      </c>
      <c r="C43" s="129" t="e">
        <f>B43-(($B$43-$E$43)/3)</f>
        <v>#N/A</v>
      </c>
      <c r="D43" s="129" t="e">
        <f>C43-(($B$43-$E$43)/3)</f>
        <v>#N/A</v>
      </c>
      <c r="E43" s="130" t="e">
        <f>0.8*((E37+E39+E40-E41)/3)</f>
        <v>#N/A</v>
      </c>
      <c r="G43" s="276" t="s">
        <v>142</v>
      </c>
      <c r="H43" s="276"/>
      <c r="I43" s="276"/>
      <c r="J43" s="276"/>
      <c r="K43" s="276"/>
      <c r="L43" s="276"/>
      <c r="M43" s="276"/>
      <c r="N43" s="276"/>
      <c r="AH43" s="21"/>
    </row>
    <row r="44" spans="2:34" ht="56.25" customHeight="1" x14ac:dyDescent="0.25">
      <c r="B44" s="128" t="e">
        <f>B43*(2.4-1)</f>
        <v>#N/A</v>
      </c>
      <c r="C44" s="129" t="e">
        <f>C43*(2.6-1)</f>
        <v>#N/A</v>
      </c>
      <c r="D44" s="129" t="e">
        <f>D43*(2.8-1)</f>
        <v>#N/A</v>
      </c>
      <c r="E44" s="130" t="e">
        <f>E43*(3-1)</f>
        <v>#N/A</v>
      </c>
      <c r="F44" s="21"/>
      <c r="G44" s="276" t="s">
        <v>96</v>
      </c>
      <c r="H44" s="276"/>
      <c r="I44" s="276"/>
      <c r="J44" s="276"/>
      <c r="K44" s="276"/>
      <c r="L44" s="276"/>
      <c r="M44" s="276"/>
      <c r="N44" s="276"/>
      <c r="R44">
        <v>33</v>
      </c>
      <c r="V44" s="21"/>
      <c r="W44" s="21"/>
      <c r="X44" s="21"/>
      <c r="Y44" s="21"/>
      <c r="AH44" s="21"/>
    </row>
    <row r="45" spans="2:34" ht="56.25" customHeight="1" x14ac:dyDescent="0.25">
      <c r="B45" s="128" t="e">
        <f>B37+B39+B40-B41-B43-B44</f>
        <v>#N/A</v>
      </c>
      <c r="C45" s="129" t="e">
        <f>C37+C39+C40-C41-C43-C44</f>
        <v>#N/A</v>
      </c>
      <c r="D45" s="129" t="e">
        <f>D37+D39+D40-D41-D43-D44</f>
        <v>#N/A</v>
      </c>
      <c r="E45" s="130" t="e">
        <f>E37+E39+E40-E41-E43-E44</f>
        <v>#N/A</v>
      </c>
      <c r="F45" s="92"/>
      <c r="G45" s="276" t="s">
        <v>149</v>
      </c>
      <c r="H45" s="276"/>
      <c r="I45" s="276"/>
      <c r="J45" s="276"/>
      <c r="K45" s="276"/>
      <c r="L45" s="276"/>
      <c r="M45" s="276"/>
      <c r="N45" s="276"/>
      <c r="R45">
        <v>6</v>
      </c>
      <c r="AH45" s="21"/>
    </row>
    <row r="46" spans="2:34" ht="56.25" customHeight="1" x14ac:dyDescent="0.25">
      <c r="B46" s="280" t="e">
        <f ca="1">0.2*'1.Current Heat'!B24</f>
        <v>#N/A</v>
      </c>
      <c r="C46" s="281"/>
      <c r="D46" s="281"/>
      <c r="E46" s="282"/>
      <c r="G46" s="276" t="s">
        <v>127</v>
      </c>
      <c r="H46" s="276"/>
      <c r="I46" s="276"/>
      <c r="J46" s="276"/>
      <c r="K46" s="276"/>
      <c r="L46" s="276"/>
      <c r="M46" s="276"/>
      <c r="N46" s="276"/>
      <c r="R46">
        <f>R45/R44</f>
        <v>0.18181818181818182</v>
      </c>
      <c r="AH46" s="21"/>
    </row>
    <row r="47" spans="2:34" ht="56.25" customHeight="1" x14ac:dyDescent="0.25">
      <c r="B47" s="128" t="e">
        <f ca="1">B45/$B$46</f>
        <v>#N/A</v>
      </c>
      <c r="C47" s="129" t="e">
        <f ca="1">C45/$B$46</f>
        <v>#N/A</v>
      </c>
      <c r="D47" s="129" t="e">
        <f ca="1">D45/$B$46</f>
        <v>#N/A</v>
      </c>
      <c r="E47" s="130" t="e">
        <f ca="1">E45/$B$46</f>
        <v>#N/A</v>
      </c>
      <c r="G47" s="276" t="s">
        <v>128</v>
      </c>
      <c r="H47" s="276"/>
      <c r="I47" s="276"/>
      <c r="J47" s="276"/>
      <c r="K47" s="276"/>
      <c r="L47" s="276"/>
      <c r="M47" s="276"/>
      <c r="N47" s="276"/>
    </row>
    <row r="48" spans="2:34" ht="56.25" customHeight="1" x14ac:dyDescent="0.25">
      <c r="B48" s="131" t="e">
        <f ca="1">'1.Current Heat'!B22</f>
        <v>#N/A</v>
      </c>
      <c r="C48" s="132" t="e">
        <f t="shared" ref="C48:E48" ca="1" si="1">B48*1.06</f>
        <v>#N/A</v>
      </c>
      <c r="D48" s="132" t="e">
        <f t="shared" ca="1" si="1"/>
        <v>#N/A</v>
      </c>
      <c r="E48" s="133" t="e">
        <f t="shared" ca="1" si="1"/>
        <v>#N/A</v>
      </c>
      <c r="G48" s="276" t="s">
        <v>194</v>
      </c>
      <c r="H48" s="276"/>
      <c r="I48" s="276"/>
      <c r="J48" s="276"/>
      <c r="K48" s="276"/>
      <c r="L48" s="276"/>
      <c r="M48" s="276"/>
      <c r="N48" s="276"/>
      <c r="O48" s="186" t="e">
        <f ca="1">(E48/B48)^(1/(E36-B36))-1</f>
        <v>#N/A</v>
      </c>
    </row>
    <row r="49" spans="1:14" ht="56.25" customHeight="1" x14ac:dyDescent="0.25">
      <c r="B49" s="134" t="e">
        <f ca="1">B47/B48</f>
        <v>#N/A</v>
      </c>
      <c r="C49" s="135" t="e">
        <f ca="1">C47/C48</f>
        <v>#N/A</v>
      </c>
      <c r="D49" s="135" t="e">
        <f ca="1">D47/D48</f>
        <v>#N/A</v>
      </c>
      <c r="E49" s="136" t="e">
        <f ca="1">E47/E48</f>
        <v>#N/A</v>
      </c>
      <c r="G49" s="276" t="s">
        <v>182</v>
      </c>
      <c r="H49" s="276"/>
      <c r="I49" s="276"/>
      <c r="J49" s="276"/>
      <c r="K49" s="276"/>
      <c r="L49" s="276"/>
      <c r="M49" s="276"/>
      <c r="N49" s="276"/>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126.55</v>
      </c>
      <c r="C54" s="147">
        <f>C32*($B$54-$B$29)+(1-C32)*$B$54</f>
        <v>118.87038413531826</v>
      </c>
      <c r="D54" s="147">
        <f>D32*($B$54-$B$29)+(1-D32)*$B$54</f>
        <v>113.94306325109758</v>
      </c>
      <c r="E54" s="148">
        <f>E32*($B$54-$B$29)+(1-E32)*$B$54</f>
        <v>113.83429075696924</v>
      </c>
      <c r="F54" s="1"/>
      <c r="G54" s="276" t="s">
        <v>109</v>
      </c>
      <c r="H54" s="276"/>
      <c r="I54" s="276"/>
      <c r="J54" s="276"/>
      <c r="K54" s="276"/>
      <c r="L54" s="276"/>
      <c r="M54" s="276"/>
      <c r="N54" s="276"/>
    </row>
    <row r="55" spans="1:14" ht="56.25" customHeight="1" x14ac:dyDescent="0.25">
      <c r="B55" s="149">
        <f>('LEAP Region'!H4+'LEAP Region'!H9+'LEAP Region'!H12)*1000</f>
        <v>1671.0876975519059</v>
      </c>
      <c r="C55" s="150">
        <f>('LEAP Region'!I4+'LEAP Region'!I9+'LEAP Region'!I12)*1000</f>
        <v>1213.0926557173846</v>
      </c>
      <c r="D55" s="150">
        <f>('LEAP Region'!J4+'LEAP Region'!J9+'LEAP Region'!J12)*1000</f>
        <v>771.55252556554069</v>
      </c>
      <c r="E55" s="151">
        <f>('LEAP Region'!K4+'LEAP Region'!K9+'LEAP Region'!K12)*1000</f>
        <v>116.0985435388906</v>
      </c>
      <c r="G55" s="276" t="s">
        <v>110</v>
      </c>
      <c r="H55" s="276"/>
      <c r="I55" s="276"/>
      <c r="J55" s="276"/>
      <c r="K55" s="276"/>
      <c r="L55" s="276"/>
      <c r="M55" s="276"/>
      <c r="N55" s="276"/>
    </row>
    <row r="56" spans="1:14" ht="56.25" customHeight="1" x14ac:dyDescent="0.25">
      <c r="B56" s="152">
        <f>'LEAP Region'!H4*1000/'2.Heat Targets'!B55</f>
        <v>7.658643326039387E-3</v>
      </c>
      <c r="C56" s="153">
        <f>'LEAP Region'!I4*1000/'2.Heat Targets'!C55</f>
        <v>3.7678975131876409E-2</v>
      </c>
      <c r="D56" s="153">
        <f>'LEAP Region'!J4*1000/'2.Heat Targets'!D55</f>
        <v>9.7156398104265393E-2</v>
      </c>
      <c r="E56" s="154">
        <f>'LEAP Region'!K4*1000/'2.Heat Targets'!E55</f>
        <v>1</v>
      </c>
      <c r="G56" s="276" t="s">
        <v>137</v>
      </c>
      <c r="H56" s="276"/>
      <c r="I56" s="276"/>
      <c r="J56" s="276"/>
      <c r="K56" s="276"/>
      <c r="L56" s="276"/>
      <c r="M56" s="276"/>
      <c r="N56" s="276"/>
    </row>
    <row r="57" spans="1:14" ht="56.25" customHeight="1" x14ac:dyDescent="0.25">
      <c r="B57" s="128">
        <f>B55/B54</f>
        <v>13.204960075479304</v>
      </c>
      <c r="C57" s="129">
        <f>C55/C54</f>
        <v>10.205171494494698</v>
      </c>
      <c r="D57" s="129">
        <f>D55/D54</f>
        <v>6.7713865465005263</v>
      </c>
      <c r="E57" s="130">
        <f>E55/E54</f>
        <v>1.0198907795433576</v>
      </c>
      <c r="G57" s="276" t="s">
        <v>111</v>
      </c>
      <c r="H57" s="276"/>
      <c r="I57" s="276"/>
      <c r="J57" s="276"/>
      <c r="K57" s="276"/>
      <c r="L57" s="276"/>
      <c r="M57" s="276"/>
      <c r="N57" s="276"/>
    </row>
    <row r="58" spans="1:14" ht="56.25" customHeight="1" x14ac:dyDescent="0.25">
      <c r="B58" s="134">
        <f>B57/B31</f>
        <v>0.62880762264187162</v>
      </c>
      <c r="C58" s="135">
        <f>C57/C31</f>
        <v>0.4584533465631041</v>
      </c>
      <c r="D58" s="135">
        <f>D57/D31</f>
        <v>0.28697666287360885</v>
      </c>
      <c r="E58" s="136">
        <f>E57/E31</f>
        <v>4.0777141194830911E-2</v>
      </c>
      <c r="G58" s="276" t="s">
        <v>130</v>
      </c>
      <c r="H58" s="276"/>
      <c r="I58" s="276"/>
      <c r="J58" s="276"/>
      <c r="K58" s="276"/>
      <c r="L58" s="276"/>
      <c r="M58" s="276"/>
      <c r="N58" s="276"/>
    </row>
    <row r="59" spans="1:14" ht="56.25" customHeight="1" x14ac:dyDescent="0.25">
      <c r="B59" s="149">
        <f>('LEAP Region'!H5+'LEAP Region'!H13)*1000</f>
        <v>1988.3018283235201</v>
      </c>
      <c r="C59" s="150">
        <f>('LEAP Region'!I5+'LEAP Region'!I13)*1000</f>
        <v>1666.5168887511618</v>
      </c>
      <c r="D59" s="150">
        <f>('LEAP Region'!J5+'LEAP Region'!J13)*1000</f>
        <v>1320.9637434149361</v>
      </c>
      <c r="E59" s="151">
        <f>('LEAP Region'!K5+'LEAP Region'!K13)*1000</f>
        <v>956.21320111558703</v>
      </c>
      <c r="G59" s="276" t="s">
        <v>112</v>
      </c>
      <c r="H59" s="276"/>
      <c r="I59" s="276"/>
      <c r="J59" s="276"/>
      <c r="K59" s="276"/>
      <c r="L59" s="276"/>
      <c r="M59" s="276"/>
      <c r="N59" s="276"/>
    </row>
    <row r="60" spans="1:14" ht="56.25" customHeight="1" x14ac:dyDescent="0.25">
      <c r="A60" s="2"/>
      <c r="B60" s="128">
        <f>B59/B54</f>
        <v>15.711590899435166</v>
      </c>
      <c r="C60" s="129">
        <f>C59/C54</f>
        <v>14.019613891834084</v>
      </c>
      <c r="D60" s="129">
        <f>D59/D54</f>
        <v>11.59319142143751</v>
      </c>
      <c r="E60" s="130">
        <f>E59/E54</f>
        <v>8.4000453181287558</v>
      </c>
      <c r="G60" s="276" t="s">
        <v>140</v>
      </c>
      <c r="H60" s="276"/>
      <c r="I60" s="276"/>
      <c r="J60" s="276"/>
      <c r="K60" s="276"/>
      <c r="L60" s="276"/>
      <c r="M60" s="276"/>
      <c r="N60" s="276"/>
    </row>
    <row r="61" spans="1:14" ht="56.25" customHeight="1" x14ac:dyDescent="0.25">
      <c r="B61" s="134">
        <f>B60/B31</f>
        <v>0.74817099521119834</v>
      </c>
      <c r="C61" s="135">
        <f>C60/C31</f>
        <v>0.62981194482632896</v>
      </c>
      <c r="D61" s="135">
        <f>D60/D31</f>
        <v>0.49132852826109563</v>
      </c>
      <c r="E61" s="136">
        <f>E60/E31</f>
        <v>0.33584952511648131</v>
      </c>
      <c r="G61" s="276" t="s">
        <v>131</v>
      </c>
      <c r="H61" s="276"/>
      <c r="I61" s="276"/>
      <c r="J61" s="276"/>
      <c r="K61" s="276"/>
      <c r="L61" s="276"/>
      <c r="M61" s="276"/>
      <c r="N61" s="276"/>
    </row>
    <row r="62" spans="1:14" ht="56.25" customHeight="1" x14ac:dyDescent="0.25">
      <c r="B62" s="149">
        <f>('LEAP Region'!H7+'LEAP Region'!H8)*1000</f>
        <v>35.652308645801043</v>
      </c>
      <c r="C62" s="150">
        <f>('LEAP Region'!I7+'LEAP Region'!I8)*1000</f>
        <v>142.6092345832042</v>
      </c>
      <c r="D62" s="150">
        <f>('LEAP Region'!J7+'LEAP Region'!J8)*1000</f>
        <v>287.96095444685466</v>
      </c>
      <c r="E62" s="151">
        <f>('LEAP Region'!K7+'LEAP Region'!K8)*1000</f>
        <v>362.00805701890295</v>
      </c>
      <c r="G62" s="276" t="s">
        <v>113</v>
      </c>
      <c r="H62" s="276"/>
      <c r="I62" s="276"/>
      <c r="J62" s="276"/>
      <c r="K62" s="276"/>
      <c r="L62" s="276"/>
      <c r="M62" s="276"/>
      <c r="N62" s="276"/>
    </row>
    <row r="63" spans="1:14" ht="56.25" customHeight="1" x14ac:dyDescent="0.25">
      <c r="B63" s="128">
        <f>B62/((0.7*B54)/2.4)</f>
        <v>0.96591455381749181</v>
      </c>
      <c r="C63" s="129">
        <f>C62/((0.75*C54)/2.6)</f>
        <v>4.1589726783893983</v>
      </c>
      <c r="D63" s="129">
        <f>D62/((0.8*D54)/2.8)</f>
        <v>8.8453242506123573</v>
      </c>
      <c r="E63" s="130">
        <f>E62/((0.85*E54)/3)</f>
        <v>11.223994868897721</v>
      </c>
      <c r="F63" s="91"/>
      <c r="G63" s="276" t="s">
        <v>180</v>
      </c>
      <c r="H63" s="276"/>
      <c r="I63" s="276"/>
      <c r="J63" s="276"/>
      <c r="K63" s="276"/>
      <c r="L63" s="276"/>
      <c r="M63" s="276"/>
      <c r="N63" s="276"/>
    </row>
    <row r="64" spans="1:14" ht="56.25" customHeight="1" x14ac:dyDescent="0.25">
      <c r="B64" s="134">
        <f>B63/B31</f>
        <v>4.5995931134166279E-2</v>
      </c>
      <c r="C64" s="135">
        <f>C63/C31</f>
        <v>0.18683614907409696</v>
      </c>
      <c r="D64" s="135">
        <f>D63/D31</f>
        <v>0.37487176637222008</v>
      </c>
      <c r="E64" s="136">
        <f>E63/E31</f>
        <v>0.44875631069438743</v>
      </c>
      <c r="G64" s="276" t="s">
        <v>114</v>
      </c>
      <c r="H64" s="276"/>
      <c r="I64" s="276"/>
      <c r="J64" s="276"/>
      <c r="K64" s="276"/>
      <c r="L64" s="276"/>
      <c r="M64" s="276"/>
      <c r="N64" s="276"/>
    </row>
    <row r="65" spans="1:20" ht="56.25" customHeight="1" x14ac:dyDescent="0.25">
      <c r="B65" s="149">
        <f>('LEAP Region'!H10+'LEAP Region'!H11)*1000</f>
        <v>646.31236442516263</v>
      </c>
      <c r="C65" s="150">
        <f>('LEAP Region'!I10+'LEAP Region'!I11)*1000</f>
        <v>505.53145336225589</v>
      </c>
      <c r="D65" s="150">
        <f>('LEAP Region'!J10+'LEAP Region'!J11)*1000</f>
        <v>323.6132630926557</v>
      </c>
      <c r="E65" s="151">
        <f>('LEAP Region'!K10+'LEAP Region'!K11)*1000</f>
        <v>113.35605825844436</v>
      </c>
      <c r="G65" s="276" t="s">
        <v>115</v>
      </c>
      <c r="H65" s="276"/>
      <c r="I65" s="276"/>
      <c r="J65" s="276"/>
      <c r="K65" s="276"/>
      <c r="L65" s="276"/>
      <c r="M65" s="276"/>
      <c r="N65" s="276"/>
    </row>
    <row r="66" spans="1:20" ht="56.25" customHeight="1" x14ac:dyDescent="0.25">
      <c r="B66" s="128">
        <f>B65/B54</f>
        <v>5.107170007310649</v>
      </c>
      <c r="C66" s="129">
        <f>C65/C54</f>
        <v>4.2527956567110525</v>
      </c>
      <c r="D66" s="129">
        <f>D65/D54</f>
        <v>2.840131324006145</v>
      </c>
      <c r="E66" s="130">
        <f>E65/E54</f>
        <v>0.9957988713651682</v>
      </c>
      <c r="G66" s="276" t="s">
        <v>146</v>
      </c>
      <c r="H66" s="276"/>
      <c r="I66" s="276"/>
      <c r="J66" s="276"/>
      <c r="K66" s="276"/>
      <c r="L66" s="276"/>
      <c r="M66" s="276"/>
      <c r="N66" s="276"/>
    </row>
    <row r="67" spans="1:20" ht="56.25" customHeight="1" x14ac:dyDescent="0.25">
      <c r="A67" s="21"/>
      <c r="B67" s="134">
        <f>B66/B31</f>
        <v>0.24319857177669757</v>
      </c>
      <c r="C67" s="135">
        <f>C66/C31</f>
        <v>0.19105101782170045</v>
      </c>
      <c r="D67" s="135">
        <f>D66/D31</f>
        <v>0.12036698893039992</v>
      </c>
      <c r="E67" s="136">
        <f>E66/E31</f>
        <v>3.9813901639047508E-2</v>
      </c>
      <c r="G67" s="276" t="s">
        <v>116</v>
      </c>
      <c r="H67" s="276"/>
      <c r="I67" s="276"/>
      <c r="J67" s="276"/>
      <c r="K67" s="276"/>
      <c r="L67" s="276"/>
      <c r="M67" s="276"/>
      <c r="N67" s="276"/>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t="e">
        <f ca="1">'1.Current Heat'!B24</f>
        <v>#N/A</v>
      </c>
      <c r="C72" s="156" t="e">
        <f ca="1">C49*($B$72-$B$46)+(1-C49)*$B$72</f>
        <v>#N/A</v>
      </c>
      <c r="D72" s="156" t="e">
        <f ca="1">D49*($B$72-$B$46)+(1-D49)*$B$72</f>
        <v>#N/A</v>
      </c>
      <c r="E72" s="157" t="e">
        <f ca="1">E49*($B$72-$B$46)+(1-E49)*$B$72</f>
        <v>#N/A</v>
      </c>
      <c r="G72" s="275" t="s">
        <v>134</v>
      </c>
      <c r="H72" s="275"/>
      <c r="I72" s="275"/>
      <c r="J72" s="275"/>
      <c r="K72" s="275"/>
      <c r="L72" s="275"/>
      <c r="M72" s="275"/>
      <c r="N72" s="275"/>
    </row>
    <row r="73" spans="1:20" ht="56.25" customHeight="1" x14ac:dyDescent="0.25">
      <c r="B73" s="149" t="e">
        <f>('LEAP Region'!T4+'LEAP Region'!T5+'LEAP Region'!T9)*1000</f>
        <v>#N/A</v>
      </c>
      <c r="C73" s="150" t="e">
        <f>('LEAP Region'!U4+'LEAP Region'!U5+'LEAP Region'!U9)*1000</f>
        <v>#N/A</v>
      </c>
      <c r="D73" s="150" t="e">
        <f>('LEAP Region'!V4+'LEAP Region'!V5+'LEAP Region'!V9)*1000</f>
        <v>#N/A</v>
      </c>
      <c r="E73" s="151" t="e">
        <f>('LEAP Region'!W4+'LEAP Region'!W5+'LEAP Region'!W9)*1000</f>
        <v>#N/A</v>
      </c>
      <c r="G73" s="276" t="s">
        <v>133</v>
      </c>
      <c r="H73" s="276"/>
      <c r="I73" s="276"/>
      <c r="J73" s="276"/>
      <c r="K73" s="276"/>
      <c r="L73" s="276"/>
      <c r="M73" s="276"/>
      <c r="N73" s="276"/>
    </row>
    <row r="74" spans="1:20" ht="56.25" customHeight="1" x14ac:dyDescent="0.25">
      <c r="B74" s="158" t="e">
        <f ca="1">com_share_state_target*'LEAP Statewide'!T4*1000/'2.Heat Targets'!B73</f>
        <v>#N/A</v>
      </c>
      <c r="C74" s="145" t="e">
        <f ca="1">com_share_state_target*'LEAP Statewide'!U4*1000/'2.Heat Targets'!C73</f>
        <v>#N/A</v>
      </c>
      <c r="D74" s="145" t="e">
        <f ca="1">com_share_state_target*'LEAP Statewide'!V4*1000/'2.Heat Targets'!D73</f>
        <v>#N/A</v>
      </c>
      <c r="E74" s="159" t="e">
        <f ca="1">com_share_state_target*'LEAP Statewide'!W4*1000/'2.Heat Targets'!E73</f>
        <v>#N/A</v>
      </c>
      <c r="G74" s="276" t="s">
        <v>136</v>
      </c>
      <c r="H74" s="276"/>
      <c r="I74" s="276"/>
      <c r="J74" s="276"/>
      <c r="K74" s="276"/>
      <c r="L74" s="276"/>
      <c r="M74" s="276"/>
      <c r="N74" s="276"/>
    </row>
    <row r="75" spans="1:20" ht="56.25" customHeight="1" x14ac:dyDescent="0.25">
      <c r="B75" s="128" t="e">
        <f ca="1">B73/B72</f>
        <v>#N/A</v>
      </c>
      <c r="C75" s="129" t="e">
        <f ca="1">C73/C72</f>
        <v>#N/A</v>
      </c>
      <c r="D75" s="129" t="e">
        <f ca="1">D73/D72</f>
        <v>#N/A</v>
      </c>
      <c r="E75" s="130" t="e">
        <f ca="1">E73/E72</f>
        <v>#N/A</v>
      </c>
      <c r="G75" s="276" t="s">
        <v>135</v>
      </c>
      <c r="H75" s="276"/>
      <c r="I75" s="276"/>
      <c r="J75" s="276"/>
      <c r="K75" s="276"/>
      <c r="L75" s="276"/>
      <c r="M75" s="276"/>
      <c r="N75" s="276"/>
    </row>
    <row r="76" spans="1:20" ht="56.25" customHeight="1" x14ac:dyDescent="0.25">
      <c r="B76" s="134" t="e">
        <f ca="1">B75/B48</f>
        <v>#N/A</v>
      </c>
      <c r="C76" s="135" t="e">
        <f ca="1">C75/C48</f>
        <v>#N/A</v>
      </c>
      <c r="D76" s="135" t="e">
        <f ca="1">D75/D48</f>
        <v>#N/A</v>
      </c>
      <c r="E76" s="136" t="e">
        <f ca="1">E75/E48</f>
        <v>#N/A</v>
      </c>
      <c r="G76" s="276" t="s">
        <v>181</v>
      </c>
      <c r="H76" s="276"/>
      <c r="I76" s="276"/>
      <c r="J76" s="276"/>
      <c r="K76" s="276"/>
      <c r="L76" s="276"/>
      <c r="M76" s="276"/>
      <c r="N76" s="276"/>
    </row>
    <row r="77" spans="1:20" ht="56.25" customHeight="1" x14ac:dyDescent="0.25">
      <c r="B77" s="128" t="e">
        <f>'LEAP Region'!T10*1000</f>
        <v>#N/A</v>
      </c>
      <c r="C77" s="129" t="e">
        <f>'LEAP Region'!U10*1000</f>
        <v>#N/A</v>
      </c>
      <c r="D77" s="129" t="e">
        <f>'LEAP Region'!V10*1000</f>
        <v>#N/A</v>
      </c>
      <c r="E77" s="130" t="e">
        <f>'LEAP Region'!W10*1000</f>
        <v>#N/A</v>
      </c>
      <c r="G77" s="276" t="s">
        <v>138</v>
      </c>
      <c r="H77" s="276"/>
      <c r="I77" s="276"/>
      <c r="J77" s="276"/>
      <c r="K77" s="276"/>
      <c r="L77" s="276"/>
      <c r="M77" s="276"/>
      <c r="N77" s="276"/>
    </row>
    <row r="78" spans="1:20" ht="56.25" customHeight="1" x14ac:dyDescent="0.25">
      <c r="B78" s="128" t="e">
        <f ca="1">B77/B72</f>
        <v>#N/A</v>
      </c>
      <c r="C78" s="129" t="e">
        <f ca="1">C77/C72</f>
        <v>#N/A</v>
      </c>
      <c r="D78" s="129" t="e">
        <f ca="1">D77/D72</f>
        <v>#N/A</v>
      </c>
      <c r="E78" s="130" t="e">
        <f ca="1">E77/E72</f>
        <v>#N/A</v>
      </c>
      <c r="G78" s="276" t="s">
        <v>139</v>
      </c>
      <c r="H78" s="276"/>
      <c r="I78" s="276"/>
      <c r="J78" s="276"/>
      <c r="K78" s="276"/>
      <c r="L78" s="276"/>
      <c r="M78" s="276"/>
      <c r="N78" s="276"/>
    </row>
    <row r="79" spans="1:20" ht="56.25" customHeight="1" x14ac:dyDescent="0.25">
      <c r="B79" s="134" t="e">
        <f ca="1">B78/B48</f>
        <v>#N/A</v>
      </c>
      <c r="C79" s="135" t="e">
        <f ca="1">C78/C48</f>
        <v>#N/A</v>
      </c>
      <c r="D79" s="135" t="e">
        <f ca="1">D78/D48</f>
        <v>#N/A</v>
      </c>
      <c r="E79" s="136" t="e">
        <f ca="1">E78/E48</f>
        <v>#N/A</v>
      </c>
      <c r="G79" s="276" t="s">
        <v>141</v>
      </c>
      <c r="H79" s="276"/>
      <c r="I79" s="276"/>
      <c r="J79" s="276"/>
      <c r="K79" s="276"/>
      <c r="L79" s="276"/>
      <c r="M79" s="276"/>
      <c r="N79" s="276"/>
    </row>
    <row r="80" spans="1:20" ht="56.25" customHeight="1" x14ac:dyDescent="0.25">
      <c r="B80" s="149" t="e">
        <f>B43</f>
        <v>#N/A</v>
      </c>
      <c r="C80" s="150" t="e">
        <f>C43</f>
        <v>#N/A</v>
      </c>
      <c r="D80" s="150" t="e">
        <f>D43</f>
        <v>#N/A</v>
      </c>
      <c r="E80" s="151" t="e">
        <f>E43</f>
        <v>#N/A</v>
      </c>
      <c r="G80" s="276" t="s">
        <v>142</v>
      </c>
      <c r="H80" s="276"/>
      <c r="I80" s="276"/>
      <c r="J80" s="276"/>
      <c r="K80" s="276"/>
      <c r="L80" s="276"/>
      <c r="M80" s="276"/>
      <c r="N80" s="276"/>
    </row>
    <row r="81" spans="2:14" ht="56.25" customHeight="1" x14ac:dyDescent="0.25">
      <c r="B81" s="128" t="e">
        <f ca="1">B80/((0.7*B72)/2.4)</f>
        <v>#N/A</v>
      </c>
      <c r="C81" s="129" t="e">
        <f ca="1">C80/((0.75*C72)/2.6)</f>
        <v>#N/A</v>
      </c>
      <c r="D81" s="129" t="e">
        <f ca="1">D80/((0.8*D72)/2.8)</f>
        <v>#N/A</v>
      </c>
      <c r="E81" s="130" t="e">
        <f ca="1">E80/((0.85*E72)/3)</f>
        <v>#N/A</v>
      </c>
      <c r="G81" s="276" t="s">
        <v>143</v>
      </c>
      <c r="H81" s="276"/>
      <c r="I81" s="276"/>
      <c r="J81" s="276"/>
      <c r="K81" s="276"/>
      <c r="L81" s="276"/>
      <c r="M81" s="276"/>
      <c r="N81" s="276"/>
    </row>
    <row r="82" spans="2:14" ht="56.25" customHeight="1" x14ac:dyDescent="0.25">
      <c r="B82" s="134" t="e">
        <f ca="1">B81/B48</f>
        <v>#N/A</v>
      </c>
      <c r="C82" s="135" t="e">
        <f ca="1">C81/C48</f>
        <v>#N/A</v>
      </c>
      <c r="D82" s="135" t="e">
        <f ca="1">D81/D48</f>
        <v>#N/A</v>
      </c>
      <c r="E82" s="136" t="e">
        <f ca="1">E81/E48</f>
        <v>#N/A</v>
      </c>
      <c r="G82" s="276" t="s">
        <v>144</v>
      </c>
      <c r="H82" s="276"/>
      <c r="I82" s="276"/>
      <c r="J82" s="276"/>
      <c r="K82" s="276"/>
      <c r="L82" s="276"/>
      <c r="M82" s="276"/>
      <c r="N82" s="276"/>
    </row>
    <row r="83" spans="2:14" ht="56.25" customHeight="1" x14ac:dyDescent="0.25">
      <c r="B83" s="149" t="e">
        <f>('LEAP Region'!T7+'LEAP Region'!T8)*1000</f>
        <v>#N/A</v>
      </c>
      <c r="C83" s="150" t="e">
        <f>('LEAP Region'!U7+'LEAP Region'!U8)*1000</f>
        <v>#N/A</v>
      </c>
      <c r="D83" s="150" t="e">
        <f>('LEAP Region'!V7+'LEAP Region'!V8)*1000</f>
        <v>#N/A</v>
      </c>
      <c r="E83" s="151" t="e">
        <f>('LEAP Region'!W7+'LEAP Region'!W8)*1000</f>
        <v>#N/A</v>
      </c>
      <c r="G83" s="276" t="s">
        <v>145</v>
      </c>
      <c r="H83" s="276"/>
      <c r="I83" s="276"/>
      <c r="J83" s="276"/>
      <c r="K83" s="276"/>
      <c r="L83" s="276"/>
      <c r="M83" s="276"/>
      <c r="N83" s="276"/>
    </row>
    <row r="84" spans="2:14" ht="56.25" customHeight="1" x14ac:dyDescent="0.25">
      <c r="B84" s="128" t="e">
        <f ca="1">B83/B72</f>
        <v>#N/A</v>
      </c>
      <c r="C84" s="129" t="e">
        <f ca="1">C83/C72</f>
        <v>#N/A</v>
      </c>
      <c r="D84" s="129" t="e">
        <f ca="1">D83/D72</f>
        <v>#N/A</v>
      </c>
      <c r="E84" s="130" t="e">
        <f ca="1">E83/E72</f>
        <v>#N/A</v>
      </c>
      <c r="G84" s="276" t="s">
        <v>147</v>
      </c>
      <c r="H84" s="276"/>
      <c r="I84" s="276"/>
      <c r="J84" s="276"/>
      <c r="K84" s="276"/>
      <c r="L84" s="276"/>
      <c r="M84" s="276"/>
      <c r="N84" s="276"/>
    </row>
    <row r="85" spans="2:14" ht="56.25" customHeight="1" x14ac:dyDescent="0.25">
      <c r="B85" s="134" t="e">
        <f ca="1">B84/B48</f>
        <v>#N/A</v>
      </c>
      <c r="C85" s="135" t="e">
        <f ca="1">C84/C48</f>
        <v>#N/A</v>
      </c>
      <c r="D85" s="135" t="e">
        <f ca="1">D84/D48</f>
        <v>#N/A</v>
      </c>
      <c r="E85" s="136" t="e">
        <f ca="1">E84/E48</f>
        <v>#N/A</v>
      </c>
      <c r="G85" s="276" t="s">
        <v>148</v>
      </c>
      <c r="H85" s="276"/>
      <c r="I85" s="276"/>
      <c r="J85" s="276"/>
      <c r="K85" s="276"/>
      <c r="L85" s="276"/>
      <c r="M85" s="276"/>
      <c r="N85" s="276"/>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502</v>
      </c>
    </row>
    <row r="3" spans="2:15" ht="21" x14ac:dyDescent="0.35">
      <c r="B3" s="52"/>
    </row>
    <row r="4" spans="2:15" ht="22.5" customHeight="1" x14ac:dyDescent="0.25">
      <c r="B4" s="283" t="s">
        <v>503</v>
      </c>
      <c r="C4" s="284"/>
      <c r="D4" s="284"/>
      <c r="E4" s="284"/>
      <c r="F4" s="284"/>
      <c r="G4" s="284"/>
      <c r="H4" s="284"/>
      <c r="I4" s="284"/>
      <c r="J4" s="284"/>
      <c r="K4" s="284"/>
      <c r="L4" s="284"/>
      <c r="M4" s="284"/>
      <c r="N4" s="285"/>
    </row>
    <row r="5" spans="2:15" ht="22.5" customHeight="1" x14ac:dyDescent="0.25">
      <c r="B5" s="286"/>
      <c r="C5" s="287"/>
      <c r="D5" s="287"/>
      <c r="E5" s="287"/>
      <c r="F5" s="287"/>
      <c r="G5" s="287"/>
      <c r="H5" s="287"/>
      <c r="I5" s="287"/>
      <c r="J5" s="287"/>
      <c r="K5" s="287"/>
      <c r="L5" s="287"/>
      <c r="M5" s="287"/>
      <c r="N5" s="288"/>
    </row>
    <row r="6" spans="2:15" ht="22.5" customHeight="1" x14ac:dyDescent="0.25">
      <c r="B6" s="289"/>
      <c r="C6" s="290"/>
      <c r="D6" s="290"/>
      <c r="E6" s="290"/>
      <c r="F6" s="290"/>
      <c r="G6" s="290"/>
      <c r="H6" s="290"/>
      <c r="I6" s="290"/>
      <c r="J6" s="290"/>
      <c r="K6" s="290"/>
      <c r="L6" s="290"/>
      <c r="M6" s="290"/>
      <c r="N6" s="291"/>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2" t="s">
        <v>151</v>
      </c>
      <c r="N11" s="293"/>
      <c r="O11" s="294"/>
    </row>
    <row r="12" spans="2:15" x14ac:dyDescent="0.25">
      <c r="B12" s="1">
        <v>100</v>
      </c>
      <c r="C12" s="2" t="s">
        <v>103</v>
      </c>
      <c r="D12" s="2"/>
      <c r="E12" s="2"/>
      <c r="F12" s="2"/>
      <c r="G12" s="2"/>
      <c r="H12" s="2"/>
      <c r="I12" s="2"/>
      <c r="J12" s="2"/>
      <c r="K12" s="3"/>
      <c r="M12" s="295"/>
      <c r="N12" s="296"/>
      <c r="O12" s="297"/>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2.7424852804462345</v>
      </c>
      <c r="C18" s="129">
        <f>'LEAP Region'!I26*1000</f>
        <v>74.961264332197075</v>
      </c>
      <c r="D18" s="129">
        <f>'LEAP Region'!J26*1000</f>
        <v>217.57049891540129</v>
      </c>
      <c r="E18" s="130">
        <f>'LEAP Region'!K26*1000</f>
        <v>421.42857142857139</v>
      </c>
      <c r="G18" s="276" t="s">
        <v>473</v>
      </c>
      <c r="H18" s="276"/>
      <c r="I18" s="276"/>
      <c r="J18" s="276"/>
      <c r="K18" s="276"/>
      <c r="L18" s="276"/>
      <c r="M18" s="276"/>
      <c r="N18" s="276"/>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76" t="s">
        <v>190</v>
      </c>
      <c r="H19" s="276"/>
      <c r="I19" s="276"/>
      <c r="J19" s="276"/>
      <c r="K19" s="276"/>
      <c r="L19" s="276"/>
      <c r="M19" s="276"/>
      <c r="N19" s="276"/>
      <c r="V19" t="s">
        <v>546</v>
      </c>
    </row>
    <row r="20" spans="2:22" ht="54.75" customHeight="1" x14ac:dyDescent="0.25">
      <c r="B20" s="128">
        <f>IF($F$22="adj",'1.Current Trans'!$O$13*B18/B19,B18/B19)</f>
        <v>0.19290635032447137</v>
      </c>
      <c r="C20" s="129">
        <f>IF($F$22="adj",'1.Current Trans'!$O$13*C18/C19,C18/C19)</f>
        <v>5.7521166278569646</v>
      </c>
      <c r="D20" s="129">
        <f>IF($F$22="adj",'1.Current Trans'!$O$13*D18/D19,D18/D19)</f>
        <v>18.364684550889677</v>
      </c>
      <c r="E20" s="130">
        <f>IF($F$22="adj",'1.Current Trans'!$O$13*E18/E19,E18/E19)</f>
        <v>39.524367777591692</v>
      </c>
      <c r="G20" s="298" t="s">
        <v>106</v>
      </c>
      <c r="H20" s="298"/>
      <c r="I20" s="298"/>
      <c r="J20" s="298"/>
      <c r="K20" s="298"/>
      <c r="L20" s="298"/>
      <c r="M20" s="298"/>
      <c r="N20" s="298"/>
    </row>
    <row r="21" spans="2:22" ht="54.75" customHeight="1" x14ac:dyDescent="0.25">
      <c r="B21" s="131">
        <f>'1.Current Trans'!B9+'1.Current Trans'!B32</f>
        <v>611</v>
      </c>
      <c r="C21" s="132">
        <f t="shared" ref="C21:E21" si="0">B21*1.125</f>
        <v>687.375</v>
      </c>
      <c r="D21" s="132">
        <f t="shared" si="0"/>
        <v>773.296875</v>
      </c>
      <c r="E21" s="133">
        <f t="shared" si="0"/>
        <v>869.958984375</v>
      </c>
      <c r="G21" s="298" t="s">
        <v>189</v>
      </c>
      <c r="H21" s="298"/>
      <c r="I21" s="298"/>
      <c r="J21" s="298"/>
      <c r="K21" s="298"/>
      <c r="L21" s="298"/>
      <c r="M21" s="298"/>
      <c r="N21" s="298"/>
      <c r="O21" s="186">
        <f>(E21/B21)^(1/(E17-B17))-1</f>
        <v>1.014682216717655E-2</v>
      </c>
    </row>
    <row r="22" spans="2:22" ht="54.75" customHeight="1" x14ac:dyDescent="0.25">
      <c r="B22" s="134">
        <f>B20/B21</f>
        <v>3.157223409565816E-4</v>
      </c>
      <c r="C22" s="135">
        <f>C20/C21</f>
        <v>8.3682365926269712E-3</v>
      </c>
      <c r="D22" s="135">
        <f>D20/D21</f>
        <v>2.3748556530620503E-2</v>
      </c>
      <c r="E22" s="136">
        <f>E20/E21</f>
        <v>4.5432449675759108E-2</v>
      </c>
      <c r="F22" s="54" t="s">
        <v>544</v>
      </c>
      <c r="G22" s="298" t="s">
        <v>191</v>
      </c>
      <c r="H22" s="298"/>
      <c r="I22" s="298"/>
      <c r="J22" s="298"/>
      <c r="K22" s="298"/>
      <c r="L22" s="298"/>
      <c r="M22" s="298"/>
      <c r="N22" s="298"/>
    </row>
    <row r="23" spans="2:22" ht="54.75" customHeight="1" x14ac:dyDescent="0.25">
      <c r="B23" s="166">
        <f>('LEAP Region'!H24+'LEAP Region'!H25+'LEAP Region'!H27+'LEAP Region'!H28)*1000</f>
        <v>3125.5190579485588</v>
      </c>
      <c r="C23" s="167">
        <f>('LEAP Region'!I24+'LEAP Region'!I25+'LEAP Region'!I27+'LEAP Region'!I28)*1000</f>
        <v>2242.4387976448711</v>
      </c>
      <c r="D23" s="167">
        <f>('LEAP Region'!J24+'LEAP Region'!J25+'LEAP Region'!J27+'LEAP Region'!J28)*1000</f>
        <v>1280.7406259683917</v>
      </c>
      <c r="E23" s="168">
        <f>('LEAP Region'!K24+'LEAP Region'!K25+'LEAP Region'!K27+'LEAP Region'!K28)*1000</f>
        <v>178.26154322900524</v>
      </c>
      <c r="G23" s="276" t="s">
        <v>469</v>
      </c>
      <c r="H23" s="276"/>
      <c r="I23" s="276"/>
      <c r="J23" s="276"/>
      <c r="K23" s="276"/>
      <c r="L23" s="276"/>
      <c r="M23" s="276"/>
      <c r="N23" s="276"/>
    </row>
    <row r="24" spans="2:22" ht="54.75" customHeight="1" x14ac:dyDescent="0.25">
      <c r="B24" s="158">
        <f>res_share_state_target*('LEAP Statewide'!H25+'LEAP Statewide'!H28)*1000000/'2.Trans Targets'!B23</f>
        <v>6.2109933056663742</v>
      </c>
      <c r="C24" s="145">
        <f>res_share_state_target*('LEAP Statewide'!I25+'LEAP Statewide'!I28)*1000000/'2.Trans Targets'!C23</f>
        <v>6.4926781834712592</v>
      </c>
      <c r="D24" s="145">
        <f>res_share_state_target*('LEAP Statewide'!J25+'LEAP Statewide'!J28)*1000000/'2.Trans Targets'!D23</f>
        <v>7.5786531449226739</v>
      </c>
      <c r="E24" s="159">
        <f>res_share_state_target*('LEAP Statewide'!K25+'LEAP Statewide'!K28)*1000000/'2.Trans Targets'!E23</f>
        <v>27.224853989837609</v>
      </c>
      <c r="G24" s="276" t="s">
        <v>192</v>
      </c>
      <c r="H24" s="276"/>
      <c r="I24" s="276"/>
      <c r="J24" s="276"/>
      <c r="K24" s="276"/>
      <c r="L24" s="276"/>
      <c r="M24" s="276"/>
      <c r="N24" s="276"/>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76" t="s">
        <v>193</v>
      </c>
      <c r="H25" s="276"/>
      <c r="I25" s="276"/>
      <c r="J25" s="276"/>
      <c r="K25" s="276"/>
      <c r="L25" s="276"/>
      <c r="M25" s="276"/>
      <c r="N25" s="276"/>
    </row>
    <row r="26" spans="2:22" ht="54.75" customHeight="1" x14ac:dyDescent="0.25">
      <c r="B26" s="128">
        <f>IF($F$22="adj",'1.Current Trans'!$O$13*B23/B25,B23/B25)</f>
        <v>46.630108307477748</v>
      </c>
      <c r="C26" s="135">
        <f>C24/C25</f>
        <v>0.10114098073573885</v>
      </c>
      <c r="D26" s="135">
        <f>D24/D25</f>
        <v>0.14214219569955619</v>
      </c>
      <c r="E26" s="136">
        <f>E24/E25</f>
        <v>0.64148325365909808</v>
      </c>
      <c r="G26" s="298" t="s">
        <v>107</v>
      </c>
      <c r="H26" s="298"/>
      <c r="I26" s="298"/>
      <c r="J26" s="298"/>
      <c r="K26" s="298"/>
      <c r="L26" s="298"/>
      <c r="M26" s="298"/>
      <c r="N26" s="298"/>
    </row>
    <row r="27" spans="2:22" ht="54.75" customHeight="1" x14ac:dyDescent="0.25">
      <c r="B27" s="134">
        <f>B26/B21</f>
        <v>7.6317689537606787E-2</v>
      </c>
      <c r="C27" s="135">
        <f>C26/C21</f>
        <v>1.4714090668956371E-4</v>
      </c>
      <c r="D27" s="135">
        <f>D26/D21</f>
        <v>1.8381322916836588E-4</v>
      </c>
      <c r="E27" s="136">
        <f>E26/E21</f>
        <v>7.3737183612162529E-4</v>
      </c>
      <c r="G27" s="298" t="s">
        <v>108</v>
      </c>
      <c r="H27" s="298"/>
      <c r="I27" s="298"/>
      <c r="J27" s="298"/>
      <c r="K27" s="298"/>
      <c r="L27" s="298"/>
      <c r="M27" s="298"/>
      <c r="N27" s="298"/>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C7" sqref="C7:E7"/>
    </sheetView>
  </sheetViews>
  <sheetFormatPr defaultRowHeight="15" x14ac:dyDescent="0.25"/>
  <cols>
    <col min="1" max="1" width="4.28515625" customWidth="1"/>
    <col min="2" max="14" width="13.28515625" customWidth="1"/>
  </cols>
  <sheetData>
    <row r="2" spans="2:14" ht="21" x14ac:dyDescent="0.35">
      <c r="B2" s="52" t="s">
        <v>497</v>
      </c>
    </row>
    <row r="4" spans="2:14" x14ac:dyDescent="0.25">
      <c r="B4" s="77">
        <v>2015</v>
      </c>
      <c r="C4" s="78">
        <v>2025</v>
      </c>
      <c r="D4" s="78">
        <v>2035</v>
      </c>
      <c r="E4" s="79">
        <v>2050</v>
      </c>
    </row>
    <row r="5" spans="2:14" s="126" customFormat="1" ht="45" customHeight="1" x14ac:dyDescent="0.2">
      <c r="B5" s="171">
        <f>'LEAP Region'!B49*1000000</f>
        <v>10969.941121784939</v>
      </c>
      <c r="C5" s="172">
        <f>'LEAP Region'!C49*1000000</f>
        <v>51193.058568329718</v>
      </c>
      <c r="D5" s="172">
        <f>'LEAP Region'!D49*1000000</f>
        <v>80446.234893089553</v>
      </c>
      <c r="E5" s="173">
        <f>'LEAP Region'!E49*1000000</f>
        <v>117926.86705918809</v>
      </c>
      <c r="G5" s="276" t="s">
        <v>186</v>
      </c>
      <c r="H5" s="276"/>
      <c r="I5" s="276"/>
      <c r="J5" s="276"/>
      <c r="K5" s="276"/>
      <c r="L5" s="276"/>
      <c r="M5" s="276"/>
      <c r="N5" s="276"/>
    </row>
    <row r="6" spans="2:14" s="126" customFormat="1" ht="45" customHeight="1" x14ac:dyDescent="0.2">
      <c r="B6" s="299">
        <v>400</v>
      </c>
      <c r="C6" s="300"/>
      <c r="D6" s="300"/>
      <c r="E6" s="301"/>
      <c r="G6" s="276" t="s">
        <v>474</v>
      </c>
      <c r="H6" s="276"/>
      <c r="I6" s="276"/>
      <c r="J6" s="276"/>
      <c r="K6" s="276"/>
      <c r="L6" s="276"/>
      <c r="M6" s="276"/>
      <c r="N6" s="276"/>
    </row>
    <row r="7" spans="2:14" s="126" customFormat="1" ht="45" customHeight="1" x14ac:dyDescent="0.2">
      <c r="B7" s="171">
        <f>B5/13/$B$6</f>
        <v>2.1096040618817189</v>
      </c>
      <c r="C7" s="172">
        <f>C5/13/$B$6</f>
        <v>9.844818955448023</v>
      </c>
      <c r="D7" s="172">
        <f>D5/13/$B$6</f>
        <v>15.470429787132607</v>
      </c>
      <c r="E7" s="172">
        <f>E5/13/$B$6</f>
        <v>22.678243665228479</v>
      </c>
      <c r="G7" s="276" t="s">
        <v>185</v>
      </c>
      <c r="H7" s="276"/>
      <c r="I7" s="276"/>
      <c r="J7" s="276"/>
      <c r="K7" s="276"/>
      <c r="L7" s="276"/>
      <c r="M7" s="276"/>
      <c r="N7" s="276"/>
    </row>
    <row r="8" spans="2:14" s="126" customFormat="1" ht="45" customHeight="1" x14ac:dyDescent="0.2">
      <c r="B8" s="36">
        <f>'2.Heat Targets'!B31*1.5</f>
        <v>31.5</v>
      </c>
      <c r="C8" s="36">
        <f>'2.Heat Targets'!C31*1.5</f>
        <v>33.39</v>
      </c>
      <c r="D8" s="36">
        <f>'2.Heat Targets'!D31*1.5</f>
        <v>35.393400000000007</v>
      </c>
      <c r="E8" s="36">
        <f>'2.Heat Targets'!E31*1.5</f>
        <v>37.517004000000014</v>
      </c>
      <c r="G8" s="276" t="s">
        <v>187</v>
      </c>
      <c r="H8" s="276"/>
      <c r="I8" s="276"/>
      <c r="J8" s="276"/>
      <c r="K8" s="276"/>
      <c r="L8" s="276"/>
      <c r="M8" s="276"/>
      <c r="N8" s="276"/>
    </row>
    <row r="9" spans="2:14" s="126" customFormat="1" ht="45" customHeight="1" x14ac:dyDescent="0.2">
      <c r="B9" s="174">
        <f>B7/B8</f>
        <v>6.697155752005457E-2</v>
      </c>
      <c r="C9" s="175">
        <f>C7/C8</f>
        <v>0.29484333499395099</v>
      </c>
      <c r="D9" s="175">
        <f>D7/D8</f>
        <v>0.43709928368375472</v>
      </c>
      <c r="E9" s="176">
        <f>E7/E8</f>
        <v>0.60447906941685614</v>
      </c>
      <c r="G9" s="276" t="s">
        <v>188</v>
      </c>
      <c r="H9" s="276"/>
      <c r="I9" s="276"/>
      <c r="J9" s="276"/>
      <c r="K9" s="276"/>
      <c r="L9" s="276"/>
      <c r="M9" s="276"/>
      <c r="N9" s="276"/>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2"/>
      <c r="C17" s="302"/>
      <c r="D17" s="302"/>
      <c r="E17" s="302"/>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15" zoomScale="70" zoomScaleNormal="70" workbookViewId="0">
      <selection activeCell="T57" sqref="T57"/>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545</v>
      </c>
    </row>
    <row r="2" spans="1:25" ht="32.25" customHeight="1" x14ac:dyDescent="0.25">
      <c r="A2" s="226" t="s">
        <v>25</v>
      </c>
      <c r="B2" s="227"/>
      <c r="C2" s="227"/>
      <c r="D2" s="227"/>
      <c r="E2" s="228"/>
      <c r="G2" s="226" t="s">
        <v>30</v>
      </c>
      <c r="H2" s="227"/>
      <c r="I2" s="227"/>
      <c r="J2" s="227"/>
      <c r="K2" s="228"/>
      <c r="M2" s="226" t="s">
        <v>31</v>
      </c>
      <c r="N2" s="227"/>
      <c r="O2" s="227"/>
      <c r="P2" s="227"/>
      <c r="Q2" s="228"/>
      <c r="R2" s="10"/>
      <c r="S2" s="226" t="s">
        <v>32</v>
      </c>
      <c r="T2" s="227"/>
      <c r="U2" s="227"/>
      <c r="V2" s="227"/>
      <c r="W2" s="228"/>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x14ac:dyDescent="0.25">
      <c r="L15" s="22"/>
    </row>
    <row r="16" spans="1:25" x14ac:dyDescent="0.25">
      <c r="B16" s="21"/>
      <c r="C16" s="21"/>
      <c r="D16" s="21"/>
      <c r="E16" s="21"/>
      <c r="H16" s="21"/>
      <c r="I16" s="21"/>
      <c r="J16" s="21"/>
      <c r="K16" s="21"/>
      <c r="L16" s="22"/>
      <c r="M16" s="221"/>
      <c r="N16" s="221"/>
      <c r="O16" s="221"/>
      <c r="P16" s="221"/>
      <c r="Q16" s="114"/>
      <c r="R16" s="222"/>
    </row>
    <row r="17" spans="1:18" x14ac:dyDescent="0.25">
      <c r="B17" s="21"/>
      <c r="C17" s="21"/>
      <c r="D17" s="21"/>
      <c r="E17" s="21"/>
      <c r="H17" s="21"/>
      <c r="I17" s="21"/>
      <c r="J17" s="21"/>
      <c r="K17" s="30"/>
      <c r="L17" s="22"/>
      <c r="M17" s="221"/>
      <c r="N17" s="221"/>
      <c r="O17" s="221"/>
      <c r="P17" s="221"/>
      <c r="Q17" s="114"/>
      <c r="R17" s="114"/>
    </row>
    <row r="18" spans="1:18" x14ac:dyDescent="0.25">
      <c r="B18" s="21"/>
      <c r="L18" s="22"/>
      <c r="M18" s="114"/>
      <c r="N18" s="114"/>
      <c r="O18" s="114"/>
      <c r="P18" s="114"/>
      <c r="Q18" s="114"/>
      <c r="R18" s="114"/>
    </row>
    <row r="19" spans="1:18" x14ac:dyDescent="0.25">
      <c r="B19" s="21"/>
      <c r="C19" s="21"/>
      <c r="D19" s="21"/>
      <c r="E19" s="21"/>
      <c r="H19" s="21"/>
      <c r="I19" s="21"/>
      <c r="J19" s="21"/>
      <c r="K19" s="21"/>
      <c r="L19" s="22"/>
      <c r="M19" s="114"/>
      <c r="N19" s="223"/>
      <c r="O19" s="223"/>
      <c r="P19" s="223"/>
      <c r="Q19" s="223"/>
      <c r="R19" s="114"/>
    </row>
    <row r="20" spans="1:18" x14ac:dyDescent="0.25">
      <c r="B20" s="21"/>
      <c r="C20" s="21"/>
      <c r="D20" s="21"/>
      <c r="E20" s="21"/>
      <c r="H20" s="23"/>
      <c r="I20" s="23"/>
      <c r="J20" s="23"/>
      <c r="K20" s="23"/>
      <c r="L20" s="22"/>
      <c r="M20" s="221"/>
      <c r="N20" s="223"/>
      <c r="O20" s="223"/>
      <c r="P20" s="223"/>
      <c r="Q20" s="223"/>
      <c r="R20" s="114"/>
    </row>
    <row r="21" spans="1:18" x14ac:dyDescent="0.25">
      <c r="L21" s="22"/>
      <c r="M21" s="221"/>
      <c r="N21" s="223"/>
      <c r="O21" s="223"/>
      <c r="P21" s="223"/>
      <c r="Q21" s="223"/>
      <c r="R21" s="114"/>
    </row>
    <row r="22" spans="1:18" ht="33.75" customHeight="1" x14ac:dyDescent="0.25">
      <c r="A22" s="226" t="s">
        <v>471</v>
      </c>
      <c r="B22" s="227"/>
      <c r="C22" s="227"/>
      <c r="D22" s="227"/>
      <c r="E22" s="228"/>
      <c r="G22" s="226" t="s">
        <v>472</v>
      </c>
      <c r="H22" s="227"/>
      <c r="I22" s="227"/>
      <c r="J22" s="227"/>
      <c r="K22" s="228"/>
      <c r="L22" s="22"/>
      <c r="M22" s="221"/>
      <c r="N22" s="223"/>
      <c r="O22" s="223"/>
      <c r="P22" s="223"/>
      <c r="Q22" s="223"/>
      <c r="R22" s="114"/>
    </row>
    <row r="23" spans="1:18" x14ac:dyDescent="0.25">
      <c r="A23" s="14" t="s">
        <v>0</v>
      </c>
      <c r="B23" s="15">
        <v>2015</v>
      </c>
      <c r="C23" s="15">
        <v>2025</v>
      </c>
      <c r="D23" s="15">
        <v>2035</v>
      </c>
      <c r="E23" s="16">
        <v>2050</v>
      </c>
      <c r="G23" s="14" t="s">
        <v>0</v>
      </c>
      <c r="H23" s="15">
        <v>2015</v>
      </c>
      <c r="I23" s="15">
        <v>2025</v>
      </c>
      <c r="J23" s="15">
        <v>2035</v>
      </c>
      <c r="K23" s="16">
        <v>2050</v>
      </c>
      <c r="M23" s="221"/>
      <c r="N23" s="223"/>
      <c r="O23" s="223"/>
      <c r="P23" s="223"/>
      <c r="Q23" s="223"/>
      <c r="R23" s="114"/>
    </row>
    <row r="24" spans="1:18" x14ac:dyDescent="0.25">
      <c r="A24" s="1" t="s">
        <v>21</v>
      </c>
      <c r="B24" s="4">
        <v>2912</v>
      </c>
      <c r="C24" s="4">
        <v>2370</v>
      </c>
      <c r="D24" s="4">
        <v>2020</v>
      </c>
      <c r="E24" s="5">
        <v>1696</v>
      </c>
      <c r="G24" s="1" t="s">
        <v>21</v>
      </c>
      <c r="H24" s="4">
        <v>2923</v>
      </c>
      <c r="I24" s="4">
        <v>2094</v>
      </c>
      <c r="J24" s="4">
        <v>1166</v>
      </c>
      <c r="K24" s="5">
        <v>91</v>
      </c>
      <c r="M24" s="221"/>
      <c r="N24" s="223"/>
      <c r="O24" s="223"/>
      <c r="P24" s="223"/>
      <c r="Q24" s="223"/>
      <c r="R24" s="114"/>
    </row>
    <row r="25" spans="1:18" x14ac:dyDescent="0.25">
      <c r="A25" s="1" t="s">
        <v>22</v>
      </c>
      <c r="B25" s="4">
        <v>395</v>
      </c>
      <c r="C25" s="4">
        <v>319</v>
      </c>
      <c r="D25" s="4">
        <v>270</v>
      </c>
      <c r="E25" s="5">
        <v>224</v>
      </c>
      <c r="G25" s="1" t="s">
        <v>22</v>
      </c>
      <c r="H25" s="4">
        <v>390</v>
      </c>
      <c r="I25" s="4">
        <v>260</v>
      </c>
      <c r="J25" s="4">
        <v>141</v>
      </c>
      <c r="K25" s="5">
        <v>16</v>
      </c>
      <c r="M25" s="221"/>
      <c r="N25" s="223"/>
      <c r="O25" s="223"/>
      <c r="P25" s="223"/>
      <c r="Q25" s="223"/>
      <c r="R25" s="114"/>
    </row>
    <row r="26" spans="1:18" x14ac:dyDescent="0.25">
      <c r="A26" s="1" t="s">
        <v>23</v>
      </c>
      <c r="B26" s="4">
        <v>3</v>
      </c>
      <c r="C26" s="4">
        <v>9</v>
      </c>
      <c r="D26" s="4">
        <v>14</v>
      </c>
      <c r="E26" s="5">
        <v>21</v>
      </c>
      <c r="G26" s="1" t="s">
        <v>23</v>
      </c>
      <c r="H26" s="4">
        <v>3</v>
      </c>
      <c r="I26" s="4">
        <v>82</v>
      </c>
      <c r="J26" s="4">
        <v>238</v>
      </c>
      <c r="K26" s="5">
        <v>461</v>
      </c>
      <c r="M26" s="221"/>
      <c r="N26" s="223"/>
      <c r="O26" s="223"/>
      <c r="P26" s="223"/>
      <c r="Q26" s="223"/>
      <c r="R26" s="114"/>
    </row>
    <row r="27" spans="1:18" x14ac:dyDescent="0.25">
      <c r="A27" s="1" t="s">
        <v>20</v>
      </c>
      <c r="B27" s="4">
        <v>106</v>
      </c>
      <c r="C27" s="4">
        <v>100</v>
      </c>
      <c r="D27" s="4">
        <v>98</v>
      </c>
      <c r="E27" s="5">
        <v>97</v>
      </c>
      <c r="G27" s="1" t="s">
        <v>20</v>
      </c>
      <c r="H27" s="4">
        <v>98</v>
      </c>
      <c r="I27" s="4">
        <v>61</v>
      </c>
      <c r="J27" s="4">
        <v>33</v>
      </c>
      <c r="K27" s="5">
        <v>1</v>
      </c>
      <c r="M27" s="221"/>
      <c r="N27" s="223"/>
      <c r="O27" s="223"/>
      <c r="P27" s="223"/>
      <c r="Q27" s="223"/>
      <c r="R27" s="114"/>
    </row>
    <row r="28" spans="1:18" x14ac:dyDescent="0.25">
      <c r="A28" s="1" t="s">
        <v>18</v>
      </c>
      <c r="B28" s="4">
        <v>1</v>
      </c>
      <c r="C28" s="4">
        <v>1</v>
      </c>
      <c r="D28" s="4">
        <v>1</v>
      </c>
      <c r="E28" s="5">
        <v>0</v>
      </c>
      <c r="G28" s="1" t="s">
        <v>18</v>
      </c>
      <c r="H28" s="4">
        <v>8</v>
      </c>
      <c r="I28" s="4">
        <v>38</v>
      </c>
      <c r="J28" s="4">
        <v>61</v>
      </c>
      <c r="K28" s="5">
        <v>87</v>
      </c>
      <c r="M28" s="221"/>
      <c r="N28" s="223"/>
      <c r="O28" s="223"/>
      <c r="P28" s="223"/>
      <c r="Q28" s="223"/>
      <c r="R28" s="114"/>
    </row>
    <row r="29" spans="1:18" x14ac:dyDescent="0.25">
      <c r="A29" s="6" t="s">
        <v>24</v>
      </c>
      <c r="B29" s="18">
        <v>0</v>
      </c>
      <c r="C29" s="18">
        <v>0</v>
      </c>
      <c r="D29" s="18">
        <v>0</v>
      </c>
      <c r="E29" s="19">
        <v>0</v>
      </c>
      <c r="G29" s="1" t="s">
        <v>24</v>
      </c>
      <c r="H29" s="4">
        <v>0</v>
      </c>
      <c r="I29" s="4">
        <v>0</v>
      </c>
      <c r="J29" s="4">
        <v>0</v>
      </c>
      <c r="K29" s="5">
        <v>0</v>
      </c>
      <c r="M29" s="221"/>
      <c r="N29" s="224"/>
      <c r="O29" s="224"/>
      <c r="P29" s="224"/>
      <c r="Q29" s="224"/>
      <c r="R29" s="114"/>
    </row>
    <row r="30" spans="1:18"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c r="M30" s="114"/>
      <c r="N30" s="114"/>
      <c r="O30" s="114"/>
      <c r="P30" s="114"/>
      <c r="Q30" s="114"/>
      <c r="R30" s="114"/>
    </row>
    <row r="31" spans="1:18" x14ac:dyDescent="0.25">
      <c r="M31" s="114"/>
      <c r="N31" s="114"/>
      <c r="O31" s="114"/>
      <c r="P31" s="114"/>
      <c r="Q31" s="114"/>
      <c r="R31" s="114"/>
    </row>
    <row r="32" spans="1:18" ht="30" hidden="1" customHeight="1" x14ac:dyDescent="0.25">
      <c r="M32" s="114"/>
      <c r="N32" s="114"/>
      <c r="O32" s="114"/>
      <c r="P32" s="114"/>
      <c r="Q32" s="114"/>
      <c r="R32" s="114"/>
    </row>
    <row r="33" spans="1:18" ht="15" hidden="1" customHeight="1" x14ac:dyDescent="0.25">
      <c r="A33" t="s">
        <v>37</v>
      </c>
      <c r="G33" t="s">
        <v>38</v>
      </c>
      <c r="M33" s="114"/>
      <c r="N33" s="114"/>
      <c r="O33" s="114"/>
      <c r="P33" s="114"/>
      <c r="Q33" s="114"/>
      <c r="R33" s="114"/>
    </row>
    <row r="34" spans="1:18" ht="15" hidden="1" customHeight="1" x14ac:dyDescent="0.25">
      <c r="A34" t="s">
        <v>0</v>
      </c>
      <c r="B34">
        <v>2015</v>
      </c>
      <c r="C34">
        <v>2025</v>
      </c>
      <c r="D34">
        <v>2035</v>
      </c>
      <c r="E34">
        <v>2050</v>
      </c>
      <c r="G34" t="s">
        <v>0</v>
      </c>
      <c r="H34">
        <v>2015</v>
      </c>
      <c r="I34">
        <v>2025</v>
      </c>
      <c r="J34">
        <v>2035</v>
      </c>
      <c r="K34">
        <v>2050</v>
      </c>
      <c r="M34" s="114"/>
      <c r="N34" s="114"/>
      <c r="O34" s="114"/>
      <c r="P34" s="114"/>
      <c r="Q34" s="114"/>
      <c r="R34" s="114"/>
    </row>
    <row r="35" spans="1:18" ht="15" hidden="1" customHeight="1" x14ac:dyDescent="0.25">
      <c r="A35" t="s">
        <v>41</v>
      </c>
      <c r="B35">
        <v>0.3</v>
      </c>
      <c r="C35">
        <v>0.4</v>
      </c>
      <c r="D35">
        <v>0.5</v>
      </c>
      <c r="E35">
        <v>0.6</v>
      </c>
      <c r="G35" t="s">
        <v>41</v>
      </c>
      <c r="H35">
        <v>0.3</v>
      </c>
      <c r="I35">
        <v>0.4</v>
      </c>
      <c r="J35">
        <v>0.6</v>
      </c>
      <c r="K35">
        <v>0.7</v>
      </c>
      <c r="M35" s="114"/>
      <c r="N35" s="114"/>
      <c r="O35" s="114"/>
      <c r="P35" s="114"/>
      <c r="Q35" s="114"/>
      <c r="R35" s="114"/>
    </row>
    <row r="36" spans="1:18" ht="15" hidden="1" customHeight="1" x14ac:dyDescent="0.25">
      <c r="A36" t="s">
        <v>26</v>
      </c>
      <c r="B36">
        <v>0.9</v>
      </c>
      <c r="C36">
        <v>1</v>
      </c>
      <c r="D36">
        <v>1.2</v>
      </c>
      <c r="E36">
        <v>1.5</v>
      </c>
      <c r="G36" t="s">
        <v>26</v>
      </c>
      <c r="H36">
        <v>0.9</v>
      </c>
      <c r="I36">
        <v>0.9</v>
      </c>
      <c r="J36">
        <v>1</v>
      </c>
      <c r="K36">
        <v>1.1000000000000001</v>
      </c>
      <c r="M36" s="114"/>
      <c r="N36" s="114"/>
      <c r="O36" s="114"/>
      <c r="P36" s="114"/>
      <c r="Q36" s="114"/>
      <c r="R36" s="114"/>
    </row>
    <row r="37" spans="1:18" ht="15" hidden="1" customHeight="1" x14ac:dyDescent="0.25">
      <c r="A37" t="s">
        <v>39</v>
      </c>
      <c r="B37">
        <v>0.4</v>
      </c>
      <c r="C37">
        <v>0.4</v>
      </c>
      <c r="D37">
        <v>0.4</v>
      </c>
      <c r="E37">
        <v>0.3</v>
      </c>
      <c r="G37" t="s">
        <v>39</v>
      </c>
      <c r="H37">
        <v>0.5</v>
      </c>
      <c r="I37">
        <v>0.5</v>
      </c>
      <c r="J37">
        <v>0.4</v>
      </c>
      <c r="K37">
        <v>0.4</v>
      </c>
      <c r="M37" s="114"/>
      <c r="N37" s="114"/>
      <c r="O37" s="114"/>
      <c r="P37" s="114"/>
      <c r="Q37" s="114"/>
      <c r="R37" s="114"/>
    </row>
    <row r="38" spans="1:18" ht="15" hidden="1" customHeight="1" x14ac:dyDescent="0.25">
      <c r="A38" t="s">
        <v>27</v>
      </c>
      <c r="B38">
        <v>0.1</v>
      </c>
      <c r="C38">
        <v>0.1</v>
      </c>
      <c r="D38">
        <v>0.1</v>
      </c>
      <c r="E38">
        <v>0.1</v>
      </c>
      <c r="G38" t="s">
        <v>27</v>
      </c>
      <c r="H38">
        <v>0.1</v>
      </c>
      <c r="I38">
        <v>0.1</v>
      </c>
      <c r="J38">
        <v>0.1</v>
      </c>
      <c r="K38">
        <v>0.1</v>
      </c>
      <c r="M38" s="114"/>
      <c r="N38" s="114"/>
      <c r="O38" s="114"/>
      <c r="P38" s="114"/>
      <c r="Q38" s="114"/>
      <c r="R38" s="114"/>
    </row>
    <row r="39" spans="1:18" ht="15" hidden="1" customHeight="1" x14ac:dyDescent="0.25">
      <c r="A39" t="s">
        <v>28</v>
      </c>
      <c r="B39">
        <v>1.8</v>
      </c>
      <c r="C39">
        <v>1.6</v>
      </c>
      <c r="D39">
        <v>1.4</v>
      </c>
      <c r="E39">
        <v>1.3</v>
      </c>
      <c r="G39" t="s">
        <v>28</v>
      </c>
      <c r="H39">
        <v>1.7</v>
      </c>
      <c r="I39">
        <v>1.3</v>
      </c>
      <c r="J39">
        <v>0.9</v>
      </c>
      <c r="K39">
        <v>0.6</v>
      </c>
      <c r="M39" s="114"/>
      <c r="N39" s="114"/>
      <c r="O39" s="114"/>
      <c r="P39" s="114"/>
      <c r="Q39" s="114"/>
      <c r="R39" s="114"/>
    </row>
    <row r="40" spans="1:18" ht="15" hidden="1" customHeight="1" x14ac:dyDescent="0.25">
      <c r="A40" t="s">
        <v>29</v>
      </c>
      <c r="B40">
        <v>2.5</v>
      </c>
      <c r="C40">
        <v>3.5</v>
      </c>
      <c r="D40">
        <v>4.5999999999999996</v>
      </c>
      <c r="E40">
        <v>6.1</v>
      </c>
      <c r="G40" t="s">
        <v>29</v>
      </c>
      <c r="H40">
        <v>2.1</v>
      </c>
      <c r="I40">
        <v>2.2000000000000002</v>
      </c>
      <c r="J40">
        <v>2.2000000000000002</v>
      </c>
      <c r="K40">
        <v>2.2000000000000002</v>
      </c>
      <c r="M40" s="114"/>
      <c r="N40" s="114"/>
      <c r="O40" s="114"/>
      <c r="P40" s="114"/>
      <c r="Q40" s="114"/>
      <c r="R40" s="114"/>
    </row>
    <row r="41" spans="1:18" ht="15" hidden="1" customHeight="1" x14ac:dyDescent="0.25">
      <c r="A41" t="s">
        <v>40</v>
      </c>
      <c r="B41">
        <v>0.2</v>
      </c>
      <c r="C41">
        <v>0.2</v>
      </c>
      <c r="D41">
        <v>0.2</v>
      </c>
      <c r="E41">
        <v>0.2</v>
      </c>
      <c r="G41" t="s">
        <v>40</v>
      </c>
      <c r="H41">
        <v>0.2</v>
      </c>
      <c r="I41">
        <v>0.2</v>
      </c>
      <c r="J41">
        <v>0.2</v>
      </c>
      <c r="K41">
        <v>0.2</v>
      </c>
      <c r="M41" s="114"/>
      <c r="N41" s="114"/>
      <c r="O41" s="114"/>
      <c r="P41" s="114"/>
      <c r="Q41" s="114"/>
      <c r="R41" s="114"/>
    </row>
    <row r="42" spans="1:18"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c r="M42" s="114"/>
      <c r="N42" s="114"/>
      <c r="O42" s="114"/>
      <c r="P42" s="114"/>
      <c r="Q42" s="114"/>
      <c r="R42" s="114"/>
    </row>
    <row r="43" spans="1:18" ht="15" hidden="1" customHeight="1" x14ac:dyDescent="0.25">
      <c r="M43" s="114"/>
      <c r="N43" s="114"/>
      <c r="O43" s="114"/>
      <c r="P43" s="114"/>
      <c r="Q43" s="114"/>
      <c r="R43" s="114"/>
    </row>
    <row r="44" spans="1:18" ht="15" hidden="1" customHeight="1" x14ac:dyDescent="0.25">
      <c r="M44" s="114"/>
      <c r="N44" s="114"/>
      <c r="O44" s="114"/>
      <c r="P44" s="114"/>
      <c r="Q44" s="114"/>
      <c r="R44" s="114"/>
    </row>
    <row r="45" spans="1:18" ht="16.5" hidden="1" customHeight="1" x14ac:dyDescent="0.25">
      <c r="M45" s="114"/>
      <c r="N45" s="114"/>
      <c r="O45" s="114"/>
      <c r="P45" s="114"/>
      <c r="Q45" s="114"/>
      <c r="R45" s="114"/>
    </row>
    <row r="46" spans="1:18" ht="0.75" customHeight="1" x14ac:dyDescent="0.25">
      <c r="M46" s="114"/>
      <c r="N46" s="114"/>
      <c r="O46" s="114"/>
      <c r="P46" s="114"/>
      <c r="Q46" s="114"/>
      <c r="R46" s="114"/>
    </row>
    <row r="47" spans="1:18" ht="33.75" customHeight="1" x14ac:dyDescent="0.25">
      <c r="M47" s="114"/>
      <c r="N47" s="114"/>
      <c r="O47" s="114"/>
      <c r="P47" s="114"/>
      <c r="Q47" s="114"/>
      <c r="R47" s="114"/>
    </row>
    <row r="48" spans="1:18" ht="58.5" customHeight="1" x14ac:dyDescent="0.25">
      <c r="A48" s="229" t="s">
        <v>184</v>
      </c>
      <c r="B48" s="17">
        <v>2015</v>
      </c>
      <c r="C48" s="17">
        <v>2025</v>
      </c>
      <c r="D48" s="17">
        <v>2035</v>
      </c>
      <c r="E48" s="17">
        <v>2050</v>
      </c>
      <c r="M48" s="114"/>
      <c r="N48" s="114"/>
      <c r="O48" s="114"/>
      <c r="P48" s="114"/>
      <c r="Q48" s="222"/>
      <c r="R48" s="114"/>
    </row>
    <row r="49" spans="1:18" ht="89.25" customHeight="1" x14ac:dyDescent="0.25">
      <c r="A49" s="229"/>
      <c r="B49" s="214">
        <v>12</v>
      </c>
      <c r="C49" s="213">
        <v>56</v>
      </c>
      <c r="D49" s="213">
        <v>88</v>
      </c>
      <c r="E49" s="213">
        <v>129</v>
      </c>
      <c r="M49" s="114"/>
      <c r="N49" s="114"/>
      <c r="O49" s="114"/>
      <c r="P49" s="114"/>
      <c r="Q49" s="114"/>
      <c r="R49" s="114"/>
    </row>
    <row r="50" spans="1:18" x14ac:dyDescent="0.25">
      <c r="M50" s="114"/>
      <c r="N50" s="114"/>
      <c r="O50" s="114"/>
      <c r="P50" s="114"/>
      <c r="Q50" s="114"/>
      <c r="R50" s="114"/>
    </row>
    <row r="51" spans="1:18" x14ac:dyDescent="0.25">
      <c r="M51" s="114"/>
      <c r="N51" s="114"/>
      <c r="O51" s="114"/>
      <c r="P51" s="114"/>
      <c r="Q51" s="114"/>
      <c r="R51" s="114"/>
    </row>
    <row r="52" spans="1:18" x14ac:dyDescent="0.25">
      <c r="M52" s="114"/>
      <c r="N52" s="114"/>
      <c r="O52" s="114"/>
      <c r="P52" s="114"/>
      <c r="Q52" s="114"/>
      <c r="R52" s="114"/>
    </row>
    <row r="53" spans="1:18" x14ac:dyDescent="0.25">
      <c r="M53" s="114"/>
      <c r="N53" s="114"/>
      <c r="O53" s="114"/>
      <c r="P53" s="114"/>
      <c r="Q53" s="114"/>
      <c r="R53" s="114"/>
    </row>
    <row r="54" spans="1:18" x14ac:dyDescent="0.25">
      <c r="M54" s="114"/>
      <c r="N54" s="114"/>
      <c r="O54" s="114"/>
      <c r="P54" s="114"/>
      <c r="Q54" s="114"/>
      <c r="R54" s="114"/>
    </row>
    <row r="55" spans="1:18" x14ac:dyDescent="0.25">
      <c r="M55" s="114"/>
      <c r="N55" s="114"/>
      <c r="O55" s="114"/>
      <c r="P55" s="114"/>
      <c r="Q55" s="114"/>
      <c r="R55" s="114"/>
    </row>
    <row r="56" spans="1:18" x14ac:dyDescent="0.25">
      <c r="M56" s="114"/>
      <c r="N56" s="114"/>
      <c r="O56" s="114"/>
      <c r="P56" s="114"/>
      <c r="Q56" s="114"/>
      <c r="R56" s="114"/>
    </row>
    <row r="57" spans="1:18" x14ac:dyDescent="0.25">
      <c r="M57" s="114"/>
      <c r="N57" s="114"/>
      <c r="O57" s="114"/>
      <c r="P57" s="114"/>
      <c r="Q57" s="114"/>
      <c r="R57" s="114"/>
    </row>
    <row r="58" spans="1:18" x14ac:dyDescent="0.25">
      <c r="M58" s="114"/>
      <c r="N58" s="114"/>
      <c r="O58" s="114"/>
      <c r="P58" s="114"/>
      <c r="Q58" s="114"/>
      <c r="R58" s="114"/>
    </row>
    <row r="59" spans="1:18" x14ac:dyDescent="0.25">
      <c r="M59" s="114"/>
      <c r="N59" s="114"/>
      <c r="O59" s="114"/>
      <c r="P59" s="114"/>
      <c r="Q59" s="114"/>
      <c r="R59" s="114"/>
    </row>
    <row r="60" spans="1:18" x14ac:dyDescent="0.25">
      <c r="M60" s="114"/>
      <c r="N60" s="114"/>
      <c r="O60" s="114"/>
      <c r="P60" s="114"/>
      <c r="Q60" s="114"/>
      <c r="R60" s="114"/>
    </row>
    <row r="61" spans="1:18" x14ac:dyDescent="0.25">
      <c r="M61" s="114"/>
      <c r="N61" s="114"/>
      <c r="O61" s="114"/>
      <c r="P61" s="114"/>
      <c r="Q61" s="225"/>
      <c r="R61" s="114"/>
    </row>
    <row r="62" spans="1:18" x14ac:dyDescent="0.25">
      <c r="M62" s="114"/>
      <c r="N62" s="114"/>
      <c r="O62" s="114"/>
      <c r="P62" s="114"/>
      <c r="Q62" s="114"/>
      <c r="R62" s="114"/>
    </row>
    <row r="63" spans="1:18" x14ac:dyDescent="0.25">
      <c r="M63" s="114"/>
      <c r="N63" s="114"/>
      <c r="O63" s="114"/>
      <c r="P63" s="114"/>
      <c r="Q63" s="114"/>
      <c r="R63" s="114"/>
    </row>
    <row r="64" spans="1:18" x14ac:dyDescent="0.25">
      <c r="M64" s="114"/>
      <c r="N64" s="114"/>
      <c r="O64" s="114"/>
      <c r="P64" s="114"/>
      <c r="Q64" s="114"/>
      <c r="R64" s="114"/>
    </row>
    <row r="65" spans="13:18" x14ac:dyDescent="0.25">
      <c r="M65" s="114"/>
      <c r="N65" s="114"/>
      <c r="O65" s="114"/>
      <c r="P65" s="114"/>
      <c r="Q65" s="114"/>
      <c r="R65" s="114"/>
    </row>
    <row r="66" spans="13:18" x14ac:dyDescent="0.25">
      <c r="M66" s="114"/>
      <c r="N66" s="114"/>
      <c r="O66" s="114"/>
      <c r="P66" s="114"/>
      <c r="Q66" s="114"/>
      <c r="R66" s="114"/>
    </row>
    <row r="67" spans="13:18" x14ac:dyDescent="0.25">
      <c r="M67" s="114"/>
      <c r="N67" s="114"/>
      <c r="O67" s="114"/>
      <c r="P67" s="114"/>
      <c r="Q67" s="114"/>
      <c r="R67" s="114"/>
    </row>
    <row r="68" spans="13:18" x14ac:dyDescent="0.25">
      <c r="M68" s="114"/>
      <c r="N68" s="114"/>
      <c r="O68" s="114"/>
      <c r="P68" s="114"/>
      <c r="Q68" s="114"/>
      <c r="R68" s="114"/>
    </row>
    <row r="69" spans="13:18" x14ac:dyDescent="0.25">
      <c r="M69" s="114"/>
      <c r="N69" s="114"/>
      <c r="O69" s="114"/>
      <c r="P69" s="114"/>
      <c r="Q69" s="114"/>
      <c r="R69" s="114"/>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536</v>
      </c>
    </row>
    <row r="2" spans="1:25" ht="32.25" customHeight="1" x14ac:dyDescent="0.25">
      <c r="A2" s="226" t="s">
        <v>25</v>
      </c>
      <c r="B2" s="227"/>
      <c r="C2" s="227"/>
      <c r="D2" s="227"/>
      <c r="E2" s="228"/>
      <c r="G2" s="226" t="s">
        <v>30</v>
      </c>
      <c r="H2" s="227"/>
      <c r="I2" s="227"/>
      <c r="J2" s="227"/>
      <c r="K2" s="228"/>
      <c r="M2" s="226" t="s">
        <v>31</v>
      </c>
      <c r="N2" s="227"/>
      <c r="O2" s="227"/>
      <c r="P2" s="227"/>
      <c r="Q2" s="228"/>
      <c r="R2" s="10"/>
      <c r="S2" s="226" t="s">
        <v>32</v>
      </c>
      <c r="T2" s="227"/>
      <c r="U2" s="227"/>
      <c r="V2" s="227"/>
      <c r="W2" s="228"/>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26" t="s">
        <v>198</v>
      </c>
      <c r="B22" s="227"/>
      <c r="C22" s="227"/>
      <c r="D22" s="227"/>
      <c r="E22" s="228"/>
      <c r="G22" s="226" t="s">
        <v>199</v>
      </c>
      <c r="H22" s="227"/>
      <c r="I22" s="227"/>
      <c r="J22" s="227"/>
      <c r="K22" s="228"/>
      <c r="L22" s="22"/>
      <c r="M22" s="226" t="s">
        <v>35</v>
      </c>
      <c r="N22" s="227"/>
      <c r="O22" s="227"/>
      <c r="P22" s="227"/>
      <c r="Q22" s="228"/>
      <c r="S22" s="226" t="s">
        <v>36</v>
      </c>
      <c r="T22" s="227"/>
      <c r="U22" s="227"/>
      <c r="V22" s="227"/>
      <c r="W22" s="228"/>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9" t="s">
        <v>184</v>
      </c>
      <c r="B48" s="17">
        <v>2015</v>
      </c>
      <c r="C48" s="17">
        <v>2025</v>
      </c>
      <c r="D48" s="17">
        <v>2035</v>
      </c>
      <c r="E48" s="17">
        <v>2050</v>
      </c>
    </row>
    <row r="49" spans="1:5" ht="74.25" customHeight="1" x14ac:dyDescent="0.25">
      <c r="A49" s="229"/>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2017-05-19T15:38:34Z</dcterms:modified>
</cp:coreProperties>
</file>