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D:\Town Data\Walden\"/>
    </mc:Choice>
  </mc:AlternateContent>
  <bookViews>
    <workbookView xWindow="0" yWindow="0" windowWidth="28800" windowHeight="11610" tabRatio="838" firstSheet="1" activeTab="1"/>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185" l="1"/>
  <c r="D57" i="201" l="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D34" i="201"/>
  <c r="G34" i="201" s="1"/>
  <c r="D33" i="201"/>
  <c r="G33" i="201" s="1"/>
  <c r="D32" i="201"/>
  <c r="G32" i="201" s="1"/>
  <c r="D31" i="201"/>
  <c r="G31" i="201" s="1"/>
  <c r="D30" i="201"/>
  <c r="G30" i="201" s="1"/>
  <c r="D29" i="201"/>
  <c r="G29" i="201" s="1"/>
  <c r="D28" i="201"/>
  <c r="G28" i="201" s="1"/>
  <c r="D27" i="201"/>
  <c r="G27" i="201" s="1"/>
  <c r="D26" i="201"/>
  <c r="G26" i="201" s="1"/>
  <c r="D25" i="201"/>
  <c r="G25" i="201" s="1"/>
  <c r="D24" i="201"/>
  <c r="G24" i="201" s="1"/>
  <c r="D23" i="201"/>
  <c r="G23" i="201" s="1"/>
  <c r="D22" i="201"/>
  <c r="G22" i="201" s="1"/>
  <c r="D21" i="201"/>
  <c r="G21" i="201" s="1"/>
  <c r="D20" i="201"/>
  <c r="D19" i="201"/>
  <c r="G19" i="201" s="1"/>
  <c r="D18" i="201"/>
  <c r="G18" i="201" s="1"/>
  <c r="D17" i="201"/>
  <c r="G17" i="201" s="1"/>
  <c r="D16" i="201"/>
  <c r="D15" i="201"/>
  <c r="G15" i="201" s="1"/>
  <c r="D14" i="201"/>
  <c r="G14" i="201" s="1"/>
  <c r="G13" i="201"/>
  <c r="D13" i="201"/>
  <c r="D12" i="201"/>
  <c r="D11" i="201"/>
  <c r="G11" i="201" s="1"/>
  <c r="G10" i="201"/>
  <c r="D10" i="201"/>
  <c r="D9" i="201"/>
  <c r="G9" i="201" s="1"/>
  <c r="D8" i="201"/>
  <c r="E5" i="201"/>
  <c r="E4" i="201"/>
  <c r="D3" i="201"/>
  <c r="C3" i="201"/>
  <c r="B3" i="201"/>
  <c r="E3" i="201" l="1"/>
  <c r="E26" i="201" s="1"/>
  <c r="E34" i="201"/>
  <c r="E10" i="201"/>
  <c r="H10" i="201" s="1"/>
  <c r="G8" i="201"/>
  <c r="E8" i="201"/>
  <c r="E56" i="201"/>
  <c r="E54" i="201"/>
  <c r="E52" i="201"/>
  <c r="H52" i="201" s="1"/>
  <c r="E50" i="201"/>
  <c r="H50" i="201" s="1"/>
  <c r="E48" i="201"/>
  <c r="E46" i="201"/>
  <c r="E44" i="201"/>
  <c r="H44" i="201" s="1"/>
  <c r="E42" i="201"/>
  <c r="H42" i="201" s="1"/>
  <c r="E13" i="201"/>
  <c r="G20" i="201"/>
  <c r="H20" i="201" s="1"/>
  <c r="E20" i="201"/>
  <c r="E22" i="201"/>
  <c r="E24" i="201"/>
  <c r="H24" i="201" s="1"/>
  <c r="E32" i="201"/>
  <c r="H32" i="201" s="1"/>
  <c r="E40" i="201"/>
  <c r="E9" i="201"/>
  <c r="H9" i="201" s="1"/>
  <c r="G16" i="201"/>
  <c r="E16" i="201"/>
  <c r="E18" i="201"/>
  <c r="H18" i="201" s="1"/>
  <c r="H22" i="201"/>
  <c r="E30" i="201"/>
  <c r="E38" i="201"/>
  <c r="G12" i="201"/>
  <c r="E12" i="201"/>
  <c r="E14" i="201"/>
  <c r="H14" i="201" s="1"/>
  <c r="E21" i="201"/>
  <c r="H21" i="201" s="1"/>
  <c r="E28" i="201"/>
  <c r="H28" i="201" s="1"/>
  <c r="E36" i="201"/>
  <c r="H13" i="201"/>
  <c r="H27" i="201"/>
  <c r="H35" i="201"/>
  <c r="H51" i="201"/>
  <c r="E11" i="201"/>
  <c r="H11" i="201" s="1"/>
  <c r="E15" i="201"/>
  <c r="H15" i="201" s="1"/>
  <c r="E19" i="201"/>
  <c r="H19" i="201" s="1"/>
  <c r="E23" i="201"/>
  <c r="H23" i="201" s="1"/>
  <c r="E25" i="201"/>
  <c r="H25" i="201" s="1"/>
  <c r="E27" i="201"/>
  <c r="E29" i="201"/>
  <c r="H29" i="201" s="1"/>
  <c r="E31" i="201"/>
  <c r="H31" i="201" s="1"/>
  <c r="E33" i="201"/>
  <c r="H33" i="201" s="1"/>
  <c r="E35" i="201"/>
  <c r="E37" i="201"/>
  <c r="H37" i="201" s="1"/>
  <c r="E39" i="201"/>
  <c r="H39" i="201" s="1"/>
  <c r="E41" i="201"/>
  <c r="H41" i="201" s="1"/>
  <c r="E43" i="201"/>
  <c r="H43" i="201" s="1"/>
  <c r="E45" i="201"/>
  <c r="H45" i="201" s="1"/>
  <c r="E47" i="201"/>
  <c r="H47" i="201" s="1"/>
  <c r="E49" i="201"/>
  <c r="H49" i="201" s="1"/>
  <c r="E51" i="201"/>
  <c r="E53" i="201"/>
  <c r="H53" i="201" s="1"/>
  <c r="E55" i="201"/>
  <c r="H55" i="201" s="1"/>
  <c r="E57" i="201"/>
  <c r="H57" i="201" s="1"/>
  <c r="H26" i="201"/>
  <c r="H30" i="201"/>
  <c r="H34" i="201"/>
  <c r="H36" i="201"/>
  <c r="H38" i="201"/>
  <c r="H40" i="201"/>
  <c r="H46" i="201"/>
  <c r="H48" i="201"/>
  <c r="H54" i="201"/>
  <c r="H56" i="201"/>
  <c r="H16" i="201" l="1"/>
  <c r="E17" i="201"/>
  <c r="H17" i="201" s="1"/>
  <c r="H12" i="201"/>
  <c r="H8" i="201"/>
  <c r="H58" i="201" s="1"/>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D30" i="198"/>
  <c r="C30" i="198"/>
  <c r="B30" i="198"/>
  <c r="K14" i="198"/>
  <c r="J14" i="198"/>
  <c r="I14" i="198"/>
  <c r="H14" i="198"/>
  <c r="E14" i="198"/>
  <c r="D14" i="198"/>
  <c r="C14" i="198"/>
  <c r="B14" i="198"/>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AA145" i="197"/>
  <c r="AD181" i="197"/>
  <c r="U245" i="197"/>
  <c r="Q4" i="197"/>
  <c r="Q5" i="197"/>
  <c r="Q6" i="197"/>
  <c r="R6" i="197" s="1"/>
  <c r="Q7" i="197"/>
  <c r="R7" i="197" s="1"/>
  <c r="Q8" i="197"/>
  <c r="R8" i="197" s="1"/>
  <c r="Q9" i="197"/>
  <c r="Q10" i="197"/>
  <c r="Q11" i="197"/>
  <c r="R11" i="197" s="1"/>
  <c r="Q12" i="197"/>
  <c r="R12" i="197" s="1"/>
  <c r="Q13" i="197"/>
  <c r="Q14" i="197"/>
  <c r="R14" i="197" s="1"/>
  <c r="Q15" i="197"/>
  <c r="Q16" i="197"/>
  <c r="Q17" i="197"/>
  <c r="Q18" i="197"/>
  <c r="Q19" i="197"/>
  <c r="R19" i="197" s="1"/>
  <c r="Q20" i="197"/>
  <c r="Q21" i="197"/>
  <c r="Q22" i="197"/>
  <c r="Q23" i="197"/>
  <c r="R23" i="197" s="1"/>
  <c r="Q24" i="197"/>
  <c r="R24" i="197" s="1"/>
  <c r="Q25" i="197"/>
  <c r="Q26" i="197"/>
  <c r="Q27" i="197"/>
  <c r="R27" i="197" s="1"/>
  <c r="Q28" i="197"/>
  <c r="R28" i="197" s="1"/>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R60" i="197" s="1"/>
  <c r="Q61" i="197"/>
  <c r="Z61" i="197" s="1"/>
  <c r="Q62" i="197"/>
  <c r="Q63" i="197"/>
  <c r="AE63" i="197" s="1"/>
  <c r="Q64" i="197"/>
  <c r="S64" i="197" s="1"/>
  <c r="Q65" i="197"/>
  <c r="Q66" i="197"/>
  <c r="Q67" i="197"/>
  <c r="R67" i="197" s="1"/>
  <c r="Q68" i="197"/>
  <c r="AD68" i="197" s="1"/>
  <c r="Q69" i="197"/>
  <c r="Q70" i="197"/>
  <c r="R70" i="197" s="1"/>
  <c r="Q71" i="197"/>
  <c r="X71" i="197" s="1"/>
  <c r="Q72" i="197"/>
  <c r="R72" i="197" s="1"/>
  <c r="Q73" i="197"/>
  <c r="AD73" i="197" s="1"/>
  <c r="Q74" i="197"/>
  <c r="Q75" i="197"/>
  <c r="R75" i="197" s="1"/>
  <c r="Q76" i="197"/>
  <c r="R76" i="197" s="1"/>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R92" i="197" s="1"/>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R108" i="197" s="1"/>
  <c r="Q109" i="197"/>
  <c r="Y109" i="197" s="1"/>
  <c r="Q110" i="197"/>
  <c r="Q111" i="197"/>
  <c r="T111" i="197" s="1"/>
  <c r="Q112" i="197"/>
  <c r="AA112" i="197" s="1"/>
  <c r="Q113" i="197"/>
  <c r="Z113" i="197" s="1"/>
  <c r="Q114" i="197"/>
  <c r="Q115" i="197"/>
  <c r="Q116" i="197"/>
  <c r="S116" i="197" s="1"/>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AE152" i="197" s="1"/>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X237" i="197" s="1"/>
  <c r="Q238" i="197"/>
  <c r="S238" i="197" s="1"/>
  <c r="Q239" i="197"/>
  <c r="Y239" i="197" s="1"/>
  <c r="Q240" i="197"/>
  <c r="Z240" i="197" s="1"/>
  <c r="Q241" i="197"/>
  <c r="Q242" i="197"/>
  <c r="T242" i="197" s="1"/>
  <c r="Q243" i="197"/>
  <c r="AD243" i="197" s="1"/>
  <c r="Q244" i="197"/>
  <c r="X244" i="197" s="1"/>
  <c r="Q245" i="197"/>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R140" i="197" l="1"/>
  <c r="AB244" i="197"/>
  <c r="Y232" i="197"/>
  <c r="AD220" i="197"/>
  <c r="V212" i="197"/>
  <c r="Y200" i="197"/>
  <c r="AD188" i="197"/>
  <c r="AE180" i="197"/>
  <c r="AB172" i="197"/>
  <c r="AA156" i="197"/>
  <c r="W144" i="197"/>
  <c r="AA124" i="197"/>
  <c r="T96" i="197"/>
  <c r="R124" i="197"/>
  <c r="AC248" i="197"/>
  <c r="V244" i="197"/>
  <c r="AD236" i="197"/>
  <c r="AD228" i="197"/>
  <c r="V220" i="197"/>
  <c r="Y208" i="197"/>
  <c r="AD196" i="197"/>
  <c r="V188" i="197"/>
  <c r="T180" i="197"/>
  <c r="AB168" i="197"/>
  <c r="AB140" i="197"/>
  <c r="AE120" i="197"/>
  <c r="AA88" i="197"/>
  <c r="V240" i="197"/>
  <c r="T236" i="197"/>
  <c r="Y224" i="197"/>
  <c r="AD212" i="197"/>
  <c r="V204" i="197"/>
  <c r="Y192" i="197"/>
  <c r="T176" i="197"/>
  <c r="X160" i="197"/>
  <c r="X128" i="197"/>
  <c r="AB112" i="197"/>
  <c r="R44" i="197"/>
  <c r="X248" i="197"/>
  <c r="AB240" i="197"/>
  <c r="Y236" i="197"/>
  <c r="V228" i="197"/>
  <c r="Y216" i="197"/>
  <c r="AD204" i="197"/>
  <c r="V196" i="197"/>
  <c r="W184" i="197"/>
  <c r="AE176" i="197"/>
  <c r="S164" i="197"/>
  <c r="T148" i="197"/>
  <c r="S132" i="197"/>
  <c r="AE68" i="197"/>
  <c r="U235" i="197"/>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N11" i="198"/>
  <c r="W11" i="198"/>
  <c r="P11" i="198"/>
  <c r="V11" i="198"/>
  <c r="O11" i="198"/>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K4" i="197" s="1"/>
  <c r="AG174" i="197"/>
  <c r="AG158" i="197"/>
  <c r="AG142" i="197"/>
  <c r="AG126" i="197"/>
  <c r="AG110" i="197"/>
  <c r="AG94" i="197"/>
  <c r="AG78" i="197"/>
  <c r="AG62" i="197"/>
  <c r="AG46" i="197"/>
  <c r="AG29" i="197"/>
  <c r="AG13" i="197"/>
  <c r="AK8" i="197" s="1"/>
  <c r="O6" i="193"/>
  <c r="P6" i="193"/>
  <c r="Q6" i="193"/>
  <c r="R6" i="193"/>
  <c r="R15" i="193"/>
  <c r="Q15" i="193"/>
  <c r="P15" i="193"/>
  <c r="O15" i="193"/>
  <c r="R13" i="193"/>
  <c r="Q13" i="193"/>
  <c r="P13" i="193"/>
  <c r="O13" i="193"/>
  <c r="P9" i="193"/>
  <c r="Q9" i="193"/>
  <c r="R9" i="193"/>
  <c r="O9" i="193"/>
  <c r="R7" i="193"/>
  <c r="Q7" i="193"/>
  <c r="P7" i="193"/>
  <c r="O7" i="193"/>
  <c r="AH246" i="197" l="1"/>
  <c r="AH108" i="197"/>
  <c r="AH60" i="197"/>
  <c r="AH155" i="197"/>
  <c r="AH18" i="197"/>
  <c r="AH168" i="197"/>
  <c r="AH7" i="197"/>
  <c r="AH190" i="197"/>
  <c r="AH117" i="197"/>
  <c r="AH148" i="197"/>
  <c r="AH179" i="197"/>
  <c r="AH177" i="197"/>
  <c r="AH198" i="197"/>
  <c r="AH230" i="197"/>
  <c r="AH220" i="197"/>
  <c r="AH171" i="197"/>
  <c r="AH107" i="197"/>
  <c r="AH91" i="197"/>
  <c r="AH59" i="197"/>
  <c r="AH226" i="197"/>
  <c r="AH114" i="197"/>
  <c r="AH82" i="197"/>
  <c r="AH137" i="197"/>
  <c r="AH9" i="197"/>
  <c r="AH104" i="197"/>
  <c r="AH56" i="197"/>
  <c r="AH199" i="197"/>
  <c r="AH87" i="197"/>
  <c r="AH55" i="197"/>
  <c r="AH23" i="197"/>
  <c r="AH213" i="197"/>
  <c r="AH181" i="197"/>
  <c r="AH133" i="197"/>
  <c r="AH101" i="197"/>
  <c r="AH85" i="197"/>
  <c r="AH37" i="197"/>
  <c r="AH116" i="197"/>
  <c r="AH52" i="197"/>
  <c r="AH36" i="197"/>
  <c r="AH4" i="197"/>
  <c r="AH211" i="197"/>
  <c r="AH147" i="197"/>
  <c r="AH115" i="197"/>
  <c r="AH35" i="197"/>
  <c r="AH138" i="197"/>
  <c r="AH58" i="197"/>
  <c r="AH42" i="197"/>
  <c r="AH129" i="197"/>
  <c r="AH234" i="197"/>
  <c r="AH112" i="197"/>
  <c r="AH96" i="197"/>
  <c r="AH64" i="197"/>
  <c r="AH16" i="197"/>
  <c r="AH191" i="197"/>
  <c r="AH175" i="197"/>
  <c r="AH79" i="197"/>
  <c r="AH31" i="197"/>
  <c r="AH86" i="197"/>
  <c r="AH205" i="197"/>
  <c r="AH141" i="197"/>
  <c r="AH45" i="197"/>
  <c r="AH13"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E41" i="186"/>
  <c r="F38" i="186" s="1"/>
  <c r="F32" i="186" l="1"/>
  <c r="F39" i="186"/>
  <c r="F33" i="186"/>
  <c r="F40" i="186"/>
  <c r="F28" i="186"/>
  <c r="F35" i="186"/>
  <c r="F29" i="186"/>
  <c r="F37" i="186"/>
  <c r="F27" i="186"/>
  <c r="F31" i="186"/>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s="1"/>
  <c r="V7" i="199" l="1"/>
  <c r="T6" i="199"/>
  <c r="B42" i="188" s="1"/>
  <c r="U6" i="199"/>
  <c r="C42" i="188" s="1"/>
  <c r="O7" i="199"/>
  <c r="V8" i="199"/>
  <c r="Q8" i="199"/>
  <c r="T7" i="199"/>
  <c r="W4" i="199"/>
  <c r="N4" i="199"/>
  <c r="O8" i="199"/>
  <c r="V9" i="199"/>
  <c r="Q9" i="199"/>
  <c r="T8" i="199"/>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P9" i="199"/>
  <c r="W8" i="199"/>
  <c r="N8" i="199"/>
  <c r="V5" i="199"/>
  <c r="Q5" i="199"/>
  <c r="T4" i="199"/>
  <c r="U8" i="199"/>
  <c r="P10" i="199"/>
  <c r="W9" i="199"/>
  <c r="N9" i="199"/>
  <c r="V6" i="199"/>
  <c r="D42" i="188" s="1"/>
  <c r="Q6" i="199"/>
  <c r="E38" i="188" s="1"/>
  <c r="T5" i="199"/>
  <c r="O10" i="199"/>
  <c r="O4" i="199"/>
  <c r="H5" i="194"/>
  <c r="E108" i="194" s="1"/>
  <c r="H11" i="194"/>
  <c r="E96" i="194" s="1"/>
  <c r="H8" i="194"/>
  <c r="E179" i="194" s="1"/>
  <c r="H9" i="194"/>
  <c r="E160" i="194" s="1"/>
  <c r="H7" i="194"/>
  <c r="E8" i="194" s="1"/>
  <c r="E186" i="194"/>
  <c r="E74" i="194"/>
  <c r="E22" i="194"/>
  <c r="H4" i="194"/>
  <c r="E256" i="194" s="1"/>
  <c r="H3" i="194"/>
  <c r="E204" i="194" s="1"/>
  <c r="H12" i="194"/>
  <c r="E91" i="194" s="1"/>
  <c r="H2" i="194"/>
  <c r="E32" i="194" s="1"/>
  <c r="E209" i="194"/>
  <c r="E173" i="194"/>
  <c r="E69" i="194"/>
  <c r="E37" i="194"/>
  <c r="E29" i="194"/>
  <c r="H6" i="194"/>
  <c r="E102" i="194" s="1"/>
  <c r="H10" i="194"/>
  <c r="E230" i="194" s="1"/>
  <c r="D49" i="196"/>
  <c r="J24" i="196"/>
  <c r="J25" i="196"/>
  <c r="J26" i="196"/>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E49" i="196"/>
  <c r="K24" i="196"/>
  <c r="K25" i="196"/>
  <c r="K26" i="196"/>
  <c r="K27" i="196"/>
  <c r="K28" i="196"/>
  <c r="K29" i="196"/>
  <c r="E24" i="196"/>
  <c r="E25" i="196"/>
  <c r="E26" i="196"/>
  <c r="E27" i="196"/>
  <c r="E28" i="196"/>
  <c r="E29" i="196"/>
  <c r="K4" i="196"/>
  <c r="K5" i="196"/>
  <c r="K6" i="196"/>
  <c r="K7" i="196"/>
  <c r="K8" i="196"/>
  <c r="K9" i="196"/>
  <c r="K10" i="196"/>
  <c r="K11" i="196"/>
  <c r="K12" i="196"/>
  <c r="K13" i="196"/>
  <c r="B13" i="196"/>
  <c r="B12" i="196"/>
  <c r="B11" i="196"/>
  <c r="B10" i="196"/>
  <c r="B9" i="196"/>
  <c r="B8" i="196"/>
  <c r="B7" i="196"/>
  <c r="B6" i="196"/>
  <c r="B5" i="196"/>
  <c r="B4" i="196"/>
  <c r="B49" i="196"/>
  <c r="H24" i="196"/>
  <c r="H25" i="196"/>
  <c r="H26" i="196"/>
  <c r="H27" i="196"/>
  <c r="H28" i="196"/>
  <c r="H29" i="196"/>
  <c r="B24" i="196"/>
  <c r="B25" i="196"/>
  <c r="B26" i="196"/>
  <c r="B27" i="196"/>
  <c r="B28" i="196"/>
  <c r="B29" i="196"/>
  <c r="H4" i="196"/>
  <c r="H5" i="196"/>
  <c r="H6" i="196"/>
  <c r="H7" i="196"/>
  <c r="H8" i="196"/>
  <c r="H9" i="196"/>
  <c r="I26" i="196"/>
  <c r="C24" i="196"/>
  <c r="C28" i="196"/>
  <c r="I6" i="196"/>
  <c r="H10" i="196"/>
  <c r="H12" i="196"/>
  <c r="E13" i="196"/>
  <c r="E11" i="196"/>
  <c r="E9" i="196"/>
  <c r="E7" i="196"/>
  <c r="E5" i="196"/>
  <c r="C49" i="196"/>
  <c r="I27" i="196"/>
  <c r="C25" i="196"/>
  <c r="C29" i="196"/>
  <c r="I7" i="196"/>
  <c r="I10" i="196"/>
  <c r="I12" i="196"/>
  <c r="D13" i="196"/>
  <c r="D11" i="196"/>
  <c r="D9" i="196"/>
  <c r="D7" i="196"/>
  <c r="D5" i="196"/>
  <c r="I24" i="196"/>
  <c r="I28" i="196"/>
  <c r="C26" i="196"/>
  <c r="I4" i="196"/>
  <c r="I8" i="196"/>
  <c r="H11" i="196"/>
  <c r="H13" i="196"/>
  <c r="E12" i="196"/>
  <c r="E10" i="196"/>
  <c r="E8" i="196"/>
  <c r="E6" i="196"/>
  <c r="E4" i="196"/>
  <c r="I25" i="196"/>
  <c r="I29" i="196"/>
  <c r="C27" i="196"/>
  <c r="I5" i="196"/>
  <c r="I9" i="196"/>
  <c r="I11" i="196"/>
  <c r="I13" i="196"/>
  <c r="D12" i="196"/>
  <c r="D10" i="196"/>
  <c r="D8" i="196"/>
  <c r="D6" i="196"/>
  <c r="D4" i="196"/>
  <c r="E31" i="194" l="1"/>
  <c r="E193" i="194"/>
  <c r="E237" i="194"/>
  <c r="E47" i="194"/>
  <c r="E225" i="194"/>
  <c r="E101" i="194"/>
  <c r="E82" i="194"/>
  <c r="E121" i="194"/>
  <c r="E213" i="194"/>
  <c r="B83" i="188"/>
  <c r="D73" i="188"/>
  <c r="C83" i="188"/>
  <c r="C73" i="188"/>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I30" i="196"/>
  <c r="E30" i="196"/>
  <c r="D14" i="196"/>
  <c r="E14" i="196"/>
  <c r="I14" i="196"/>
  <c r="H14" i="196"/>
  <c r="H30" i="196"/>
  <c r="D30" i="196"/>
  <c r="C30" i="196"/>
  <c r="K14" i="196"/>
  <c r="K30" i="196"/>
  <c r="B30" i="196"/>
  <c r="B14" i="196"/>
  <c r="J14"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I12" i="192" l="1"/>
  <c r="K29" i="199" s="1"/>
  <c r="K26" i="199"/>
  <c r="E18" i="189" s="1"/>
  <c r="J28" i="199"/>
  <c r="J24" i="199"/>
  <c r="I26" i="199"/>
  <c r="C18" i="189" s="1"/>
  <c r="H29" i="199"/>
  <c r="H25" i="199"/>
  <c r="C26" i="199"/>
  <c r="D49" i="199"/>
  <c r="D5" i="190" s="1"/>
  <c r="D7" i="190" s="1"/>
  <c r="D25" i="199"/>
  <c r="D29" i="199"/>
  <c r="B25" i="199"/>
  <c r="B29" i="199"/>
  <c r="B49" i="199"/>
  <c r="B5" i="190" s="1"/>
  <c r="B7" i="190" s="1"/>
  <c r="C12" i="199"/>
  <c r="C10" i="199"/>
  <c r="C8" i="199"/>
  <c r="C6" i="199"/>
  <c r="C4" i="199"/>
  <c r="H12" i="199"/>
  <c r="B12" i="199"/>
  <c r="H10" i="199"/>
  <c r="B10" i="199"/>
  <c r="H8" i="199"/>
  <c r="B8" i="199"/>
  <c r="H6" i="199"/>
  <c r="B6" i="199"/>
  <c r="H4" i="199"/>
  <c r="B4" i="199"/>
  <c r="K12" i="199"/>
  <c r="E12" i="199"/>
  <c r="K10" i="199"/>
  <c r="E10" i="199"/>
  <c r="K8" i="199"/>
  <c r="E8" i="199"/>
  <c r="K6" i="199"/>
  <c r="E6" i="199"/>
  <c r="K4" i="199"/>
  <c r="E4" i="199"/>
  <c r="J12" i="199"/>
  <c r="D12" i="199"/>
  <c r="J10" i="199"/>
  <c r="D10" i="199"/>
  <c r="J8" i="199"/>
  <c r="D8" i="199"/>
  <c r="J6" i="199"/>
  <c r="D6" i="199"/>
  <c r="J4" i="199"/>
  <c r="D4" i="199"/>
  <c r="I4" i="199" l="1"/>
  <c r="I8" i="199"/>
  <c r="I12" i="199"/>
  <c r="B28" i="199"/>
  <c r="D28" i="199"/>
  <c r="C29" i="199"/>
  <c r="H26" i="199"/>
  <c r="B18" i="189" s="1"/>
  <c r="I27" i="199"/>
  <c r="J29" i="199"/>
  <c r="D5" i="199"/>
  <c r="D9" i="199"/>
  <c r="D11" i="199"/>
  <c r="D13" i="199"/>
  <c r="E5" i="199"/>
  <c r="E7" i="199"/>
  <c r="E9" i="199"/>
  <c r="E11" i="199"/>
  <c r="E13" i="199"/>
  <c r="B5" i="199"/>
  <c r="B7" i="199"/>
  <c r="B14" i="199" s="1"/>
  <c r="B24" i="188" s="1"/>
  <c r="B9" i="199"/>
  <c r="B11" i="199"/>
  <c r="B13" i="199"/>
  <c r="C5" i="199"/>
  <c r="C7" i="199"/>
  <c r="C25" i="188" s="1"/>
  <c r="C9" i="199"/>
  <c r="C11" i="199"/>
  <c r="C13" i="199"/>
  <c r="E24" i="199"/>
  <c r="B27" i="199"/>
  <c r="E26" i="199"/>
  <c r="D27" i="199"/>
  <c r="E29" i="199"/>
  <c r="C28" i="199"/>
  <c r="C24" i="199"/>
  <c r="H27" i="199"/>
  <c r="I24" i="199"/>
  <c r="I30" i="199" s="1"/>
  <c r="I28" i="199"/>
  <c r="J26" i="199"/>
  <c r="D18" i="189" s="1"/>
  <c r="K24" i="199"/>
  <c r="K28" i="199"/>
  <c r="I6" i="199"/>
  <c r="I10" i="199"/>
  <c r="E27" i="199"/>
  <c r="E28" i="199"/>
  <c r="D24" i="199"/>
  <c r="C25" i="199"/>
  <c r="B24" i="199"/>
  <c r="J25" i="199"/>
  <c r="K27" i="199"/>
  <c r="D7" i="199"/>
  <c r="J5" i="199"/>
  <c r="J7" i="199"/>
  <c r="D27" i="188" s="1"/>
  <c r="J9" i="199"/>
  <c r="D55" i="188" s="1"/>
  <c r="D56" i="188" s="1"/>
  <c r="J11" i="199"/>
  <c r="J13" i="199"/>
  <c r="K5" i="199"/>
  <c r="K7" i="199"/>
  <c r="K9" i="199"/>
  <c r="K11" i="199"/>
  <c r="E65" i="188" s="1"/>
  <c r="K13" i="199"/>
  <c r="H5" i="199"/>
  <c r="H14" i="199" s="1"/>
  <c r="B26" i="188" s="1"/>
  <c r="H7" i="199"/>
  <c r="H9" i="199"/>
  <c r="B55" i="188" s="1"/>
  <c r="B56" i="188" s="1"/>
  <c r="H11" i="199"/>
  <c r="H13" i="199"/>
  <c r="I5" i="199"/>
  <c r="I7" i="199"/>
  <c r="C62" i="188" s="1"/>
  <c r="I9" i="199"/>
  <c r="I11" i="199"/>
  <c r="C65" i="188" s="1"/>
  <c r="I13" i="199"/>
  <c r="E49" i="199"/>
  <c r="E5" i="190" s="1"/>
  <c r="E7" i="190" s="1"/>
  <c r="B26" i="199"/>
  <c r="C49" i="199"/>
  <c r="C5" i="190" s="1"/>
  <c r="C7" i="190" s="1"/>
  <c r="D26" i="199"/>
  <c r="E25" i="199"/>
  <c r="C27" i="199"/>
  <c r="C30" i="199" s="1"/>
  <c r="H24" i="199"/>
  <c r="H28" i="199"/>
  <c r="I25" i="199"/>
  <c r="C23" i="189" s="1"/>
  <c r="I29" i="199"/>
  <c r="J27" i="199"/>
  <c r="K25" i="199"/>
  <c r="D23" i="189"/>
  <c r="B65" i="188"/>
  <c r="D25" i="188"/>
  <c r="E25" i="188"/>
  <c r="B25" i="188"/>
  <c r="I14" i="199"/>
  <c r="C26" i="188" s="1"/>
  <c r="C55" i="188"/>
  <c r="C56" i="188" s="1"/>
  <c r="D62" i="188"/>
  <c r="E62" i="188"/>
  <c r="E27" i="188"/>
  <c r="E14" i="199"/>
  <c r="E24" i="188" s="1"/>
  <c r="B62" i="188"/>
  <c r="B27" i="188"/>
  <c r="E30" i="199"/>
  <c r="E23" i="189"/>
  <c r="D65" i="188"/>
  <c r="K14" i="199"/>
  <c r="E26" i="188" s="1"/>
  <c r="E55" i="188"/>
  <c r="E56" i="188" s="1"/>
  <c r="C14" i="199"/>
  <c r="C24" i="188" s="1"/>
  <c r="K30" i="199"/>
  <c r="B23" i="189"/>
  <c r="J14" i="199"/>
  <c r="D26" i="188" s="1"/>
  <c r="D14" i="199"/>
  <c r="D24" i="188" s="1"/>
  <c r="H30" i="199"/>
  <c r="J30" i="199"/>
  <c r="D30" i="199"/>
  <c r="B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D59" i="188" l="1"/>
  <c r="C27" i="188"/>
  <c r="C59" i="188"/>
  <c r="B59" i="188"/>
  <c r="E59" i="188"/>
  <c r="B24" i="189"/>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B49" i="34" s="1"/>
  <c r="K30" i="34"/>
  <c r="J30" i="34"/>
  <c r="I30" i="34"/>
  <c r="H30" i="34"/>
  <c r="E30" i="34"/>
  <c r="D30" i="34"/>
  <c r="C30" i="34"/>
  <c r="B30" i="34"/>
  <c r="K14" i="34"/>
  <c r="J14" i="34"/>
  <c r="I14" i="34"/>
  <c r="H14" i="34"/>
  <c r="E14" i="34"/>
  <c r="D14" i="34"/>
  <c r="C14" i="34"/>
  <c r="B14" i="34"/>
  <c r="R37" i="193" l="1"/>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C26" i="189" s="1"/>
  <c r="K34" i="193"/>
  <c r="D63" i="188"/>
  <c r="K43" i="193" s="1"/>
  <c r="C63" i="188"/>
  <c r="J43" i="193" s="1"/>
  <c r="J34" i="193"/>
  <c r="D57" i="188"/>
  <c r="C57" i="188"/>
  <c r="D66" i="188"/>
  <c r="D60" i="188"/>
  <c r="L27" i="193"/>
  <c r="E32" i="188"/>
  <c r="C66" i="188"/>
  <c r="C60" i="188"/>
  <c r="D25" i="189" l="1"/>
  <c r="D26" i="189" s="1"/>
  <c r="C27" i="189"/>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7" i="189" l="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<sst xmlns="http://schemas.openxmlformats.org/spreadsheetml/2006/main" count="1627" uniqueCount="563">
  <si>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</si>
  <si>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</si>
  <si>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</si>
  <si>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</si>
  <si>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</si>
  <si>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</si>
  <si>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</si>
  <si>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</si>
  <si>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</si>
  <si>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</si>
  <si>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</si>
  <si>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</si>
  <si>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</si>
  <si>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</si>
  <si>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</si>
  <si>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</si>
  <si>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</si>
  <si>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</si>
  <si>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</si>
  <si>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</si>
  <si>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</si>
  <si>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</si>
  <si>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</si>
  <si>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</si>
  <si>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</si>
  <si>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</si>
  <si>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</si>
  <si>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</si>
  <si>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</si>
  <si>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</si>
  <si>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</si>
  <si>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</si>
  <si>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</si>
  <si>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</si>
  <si>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</si>
  <si>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</si>
  <si>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</si>
  <si>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</si>
  <si>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</si>
  <si>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</si>
  <si>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</si>
  <si>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</si>
  <si>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</si>
  <si>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</si>
  <si>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</si>
  <si>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</si>
  <si>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</si>
  <si>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</si>
  <si>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</si>
  <si>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</si>
  <si>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</si>
  <si>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</si>
  <si>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</si>
  <si>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</si>
  <si>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</si>
  <si>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</si>
  <si>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</si>
  <si>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</si>
  <si>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</si>
  <si>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</si>
  <si>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</si>
  <si>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</si>
  <si>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</si>
  <si>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</si>
  <si>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</si>
  <si>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</si>
  <si>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</si>
  <si>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</si>
  <si>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</si>
  <si>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</si>
  <si>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</si>
  <si>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</si>
  <si>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</si>
  <si>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</si>
  <si>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</si>
  <si>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</si>
  <si>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</si>
  <si>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</si>
  <si>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</si>
  <si>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</si>
  <si>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</si>
  <si>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</si>
  <si>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</si>
  <si>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</si>
  <si>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</si>
  <si>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</si>
  <si>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</si>
  <si>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</si>
  <si>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</si>
  <si>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</si>
  <si>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</si>
  <si>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</si>
  <si>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</si>
  <si>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</si>
  <si>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</si>
  <si>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</si>
  <si>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</si>
  <si>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</si>
  <si>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</si>
  <si>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</si>
  <si>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</si>
  <si>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</si>
  <si>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</si>
  <si>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</si>
  <si>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</si>
  <si>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</si>
  <si>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</si>
  <si>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</si>
  <si>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</si>
  <si>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</si>
  <si>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</si>
  <si>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</si>
  <si>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</si>
  <si>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</si>
  <si>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</si>
  <si>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</si>
  <si>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</si>
  <si>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</si>
  <si>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</si>
  <si>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</si>
  <si>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</si>
  <si>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</si>
  <si>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</si>
  <si>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</si>
  <si>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</si>
  <si>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</si>
  <si>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</si>
  <si>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</si>
  <si>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</si>
  <si>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</si>
  <si>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</si>
  <si>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</si>
  <si>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</si>
  <si>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</si>
  <si>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</si>
  <si>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</si>
  <si>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</si>
  <si>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</si>
  <si>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</si>
  <si>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</si>
  <si>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</si>
  <si>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</si>
  <si>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</si>
  <si>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</si>
  <si>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</si>
  <si>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</si>
  <si>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</si>
  <si>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</si>
  <si>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</si>
  <si>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</si>
  <si>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</si>
  <si>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</si>
  <si>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</si>
  <si>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</si>
  <si>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</si>
  <si>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</si>
  <si>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</si>
  <si>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</si>
  <si>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</si>
  <si>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</si>
  <si>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</si>
  <si>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</si>
  <si>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</si>
  <si>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</si>
  <si>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</si>
  <si>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</si>
  <si>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</si>
  <si>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</si>
  <si>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</si>
  <si>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</si>
  <si>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</si>
  <si>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</si>
  <si>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</si>
  <si>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</si>
  <si>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</si>
  <si>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</si>
  <si>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</si>
  <si>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</si>
  <si>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</si>
  <si>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</si>
  <si>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</si>
  <si>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</si>
  <si>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</si>
  <si>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</si>
  <si>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</si>
  <si>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</si>
  <si>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</si>
  <si>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</si>
  <si>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</si>
  <si>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</si>
  <si>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</si>
  <si>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</si>
  <si>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</si>
  <si>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</si>
  <si>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</si>
  <si>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</si>
  <si>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</si>
  <si>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</si>
  <si>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</si>
  <si>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</si>
  <si>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</si>
  <si>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</si>
  <si>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</si>
  <si>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</si>
  <si>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</si>
  <si>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</si>
  <si>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</si>
  <si>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</si>
  <si>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</si>
  <si>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</si>
  <si>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</si>
  <si>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</si>
  <si>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</si>
  <si>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</si>
  <si>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</si>
  <si>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</si>
  <si>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</si>
  <si>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</si>
  <si>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</si>
  <si>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</si>
  <si>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</si>
  <si>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</si>
  <si>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</si>
  <si>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</si>
  <si>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</si>
  <si>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</si>
  <si>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</si>
  <si>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</si>
  <si>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</si>
  <si>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</si>
  <si>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</si>
  <si>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</si>
  <si>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</si>
  <si>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</si>
  <si>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</si>
  <si>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</si>
  <si>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</si>
  <si>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</si>
  <si>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</si>
  <si>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</si>
  <si>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</si>
  <si>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</si>
  <si>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</si>
  <si>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</si>
  <si>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</si>
  <si>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</si>
  <si>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</si>
  <si>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</si>
  <si>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</si>
  <si>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</si>
  <si>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</si>
  <si>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</si>
  <si>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</si>
  <si>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</si>
  <si>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</si>
  <si>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</si>
  <si>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</si>
  <si>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</si>
  <si>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</si>
  <si>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</si>
  <si>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</si>
  <si>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</si>
  <si>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</si>
  <si>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</si>
  <si>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</si>
  <si>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</si>
  <si>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</si>
  <si>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</si>
  <si>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</si>
  <si>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</si>
  <si>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</si>
  <si>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</si>
  <si>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</si>
  <si>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</si>
  <si>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</si>
  <si>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</si>
  <si>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</si>
  <si>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</si>
  <si>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</si>
  <si>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</si>
  <si>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</si>
  <si>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</si>
  <si>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</si>
  <si>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</si>
  <si>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</si>
  <si>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</si>
  <si>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</si>
  <si>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</si>
  <si>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</si>
  <si>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</si>
  <si>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</si>
  <si>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</si>
  <si>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</si>
  <si>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</si>
  <si>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</si>
  <si>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</si>
  <si>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</si>
  <si>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</si>
  <si>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</si>
  <si>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</si>
  <si>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</si>
  <si>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</si>
  <si>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</si>
  <si>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</si>
  <si>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</si>
  <si>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</si>
  <si>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</si>
  <si>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</si>
  <si>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</si>
  <si>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</si>
  <si>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</si>
  <si>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</si>
  <si>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</si>
  <si>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</si>
  <si>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</si>
  <si>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</si>
  <si>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</si>
  <si>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</si>
  <si>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</si>
  <si>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</si>
  <si>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</si>
  <si>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</si>
  <si>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</si>
  <si>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</si>
  <si>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</si>
  <si>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</si>
  <si>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</si>
  <si>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</si>
  <si>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</si>
  <si>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</si>
  <si>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</si>
  <si>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</si>
  <si>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</si>
  <si>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</si>
  <si>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</si>
  <si>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</si>
  <si>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</si>
  <si>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</si>
  <si>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</si>
  <si>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</si>
  <si>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</si>
  <si>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</si>
  <si>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</si>
  <si>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</si>
  <si>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</si>
  <si>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</si>
  <si>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</si>
  <si>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</si>
  <si>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</si>
  <si>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</si>
  <si>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</si>
  <si>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</si>
  <si>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</si>
  <si>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</si>
  <si>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</si>
  <si>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</si>
  <si>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</si>
  <si>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</si>
  <si>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</si>
  <si>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</si>
  <si>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</si>
  <si>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</si>
  <si>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</si>
  <si>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</si>
  <si>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</si>
  <si>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</si>
  <si>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</si>
  <si>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</si>
  <si>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</si>
  <si>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</si>
  <si>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</si>
  <si>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</si>
  <si>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</si>
  <si>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</si>
  <si>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</si>
  <si>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</si>
  <si>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</si>
  <si>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</si>
  <si>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</si>
  <si>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</si>
  <si>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</si>
  <si>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</si>
  <si>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</si>
  <si>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</si>
  <si>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</si>
  <si>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</si>
  <si>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</si>
  <si>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</si>
  <si>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</si>
  <si>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</si>
  <si>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</si>
  <si>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</si>
  <si>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</si>
  <si>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</si>
  <si>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</si>
  <si>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</si>
  <si>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</si>
  <si>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</si>
  <si>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</si>
  <si>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</si>
  <si>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</si>
  <si>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</si>
  <si>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</si>
  <si>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</si>
  <si>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</si>
  <si>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</si>
  <si>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</si>
  <si>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</si>
  <si>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</si>
  <si>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</si>
  <si>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</si>
  <si>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</si>
  <si>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</si>
  <si>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</si>
  <si>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</si>
  <si>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</si>
  <si>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</si>
  <si>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</si>
  <si>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</si>
  <si>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</si>
  <si>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</si>
  <si>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</si>
  <si>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</si>
  <si>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</si>
  <si>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</si>
  <si>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</si>
  <si>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</si>
  <si>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</si>
  <si>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</si>
  <si>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</si>
  <si>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</si>
  <si>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</si>
  <si>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</si>
  <si>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</si>
  <si>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</si>
  <si>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</si>
  <si>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</si>
  <si>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</si>
  <si>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</si>
  <si>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</si>
  <si>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</si>
  <si>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</si>
  <si>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</si>
  <si>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</si>
  <si>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</si>
  <si>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</si>
  <si>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</si>
  <si>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</si>
  <si>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</si>
  <si>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</si>
  <si>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</si>
  <si>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</si>
  <si>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</si>
  <si>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</si>
  <si>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</si>
  <si>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</si>
  <si>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</si>
  <si>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</si>
  <si>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</si>
  <si>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</si>
  <si>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</si>
  <si>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</si>
  <si>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</si>
  <si>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</si>
  <si>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</si>
  <si>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</si>
  <si>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</si>
  <si>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</si>
  <si>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</si>
  <si>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</si>
  <si>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</si>
  <si>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</si>
  <si>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</si>
  <si>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</si>
  <si>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</si>
  <si>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</si>
  <si>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</si>
  <si>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</si>
  <si>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</si>
  <si>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</si>
  <si>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</si>
  <si>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</si>
  <si>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</si>
  <si>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</si>
  <si>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</si>
  <si>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</si>
  <si>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</si>
  <si>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</si>
  <si>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</si>
  <si>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</si>
  <si>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</si>
  <si>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</si>
  <si>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</si>
  <si>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</si>
  <si>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</si>
  <si>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</si>
  <si>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</si>
  <si>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</si>
  <si>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</si>
  <si>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</si>
  <si>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</si>
  <si>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</si>
  <si>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</si>
  <si>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</si>
  <si>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</si>
  <si>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</si>
  <si>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</si>
  <si>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</si>
  <si>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</si>
  <si>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</si>
  <si>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</si>
  <si>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</si>
  <si>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</si>
  <si>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</si>
  <si>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</si>
  <si>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</si>
  <si>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</si>
  <si>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</si>
  <si>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</si>
  <si>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</si>
  <si>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</si>
  <si>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</si>
  <si>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</si>
  <si>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</si>
  <si>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</si>
  <si>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</si>
  <si>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</si>
  <si>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</si>
  <si>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</si>
  <si>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</si>
  <si>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</si>
  <si>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</si>
  <si>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</si>
  <si>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</si>
  <si>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</si>
  <si>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</si>
  <si>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</si>
  <si>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</si>
  <si>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</si>
  <si>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</si>
  <si>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</si>
  <si>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</si>
  <si>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</si>
  <si>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</si>
  <si>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</si>
  <si>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</si>
  <si>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</si>
  <si>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</si>
  <si>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Orleans</t>
  </si>
  <si>
    <t>Caledonia</t>
  </si>
  <si>
    <t>NEK</t>
  </si>
  <si>
    <t>Residential units</t>
  </si>
  <si>
    <t>Owner</t>
  </si>
  <si>
    <t>Rented</t>
  </si>
  <si>
    <t>Towns</t>
  </si>
  <si>
    <t>Owned</t>
  </si>
  <si>
    <t>% of NEK (Weight)</t>
  </si>
  <si>
    <t>Total MMBTUs</t>
  </si>
  <si>
    <t>Average</t>
  </si>
  <si>
    <t>Weighted Avg.</t>
  </si>
  <si>
    <t>Newport town</t>
  </si>
  <si>
    <t>St. Johnsbury</t>
  </si>
  <si>
    <t>UTG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</si>
</sst>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rgb="FFFFFF00"/>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4">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0"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7" fillId="2" borderId="13" xfId="3"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0" fontId="0" fillId="5" borderId="27" xfId="0" applyFill="1" applyBorder="1" applyAlignment="1">
      <alignment horizontal="left" vertical="center" wrapText="1"/>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9" xfId="0" applyBorder="1" applyAlignment="1">
      <alignment horizontal="left"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9" fillId="0" borderId="0" xfId="6" applyAlignment="1">
      <alignment horizontal="left" vertical="center"/>
    </xf>
    <xf numFmtId="0" fontId="0" fillId="0" borderId="0" xfId="0" applyFont="1" applyAlignment="1">
      <alignment horizontal="left" vertical="center" wrapText="1"/>
    </xf>
    <xf numFmtId="0" fontId="0" fillId="0" borderId="16" xfId="0" applyFont="1" applyBorder="1" applyAlignment="1">
      <alignment horizontal="left" vertical="center" wrapText="1"/>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7" borderId="0" xfId="0" applyFont="1" applyFill="1" applyAlignment="1">
      <alignment horizontal="left" vertical="center" wrapText="1"/>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xf numFmtId="164" fontId="0" fillId="0" borderId="0" xfId="2" applyNumberFormat="1" applyFont="1" applyFill="1" applyBorder="1"/>
    <xf numFmtId="164" fontId="1" fillId="0" borderId="0" xfId="2" applyNumberFormat="1" applyFont="1" applyFill="1" applyBorder="1"/>
    <xf numFmtId="3" fontId="0" fillId="0" borderId="0" xfId="0" applyNumberFormat="1" applyFill="1" applyBorder="1"/>
    <xf numFmtId="1" fontId="0" fillId="0" borderId="0" xfId="0" applyNumberFormat="1" applyFill="1" applyBorder="1"/>
    <xf numFmtId="167" fontId="0" fillId="0" borderId="0" xfId="1" applyNumberFormat="1" applyFont="1" applyFill="1" applyBorder="1"/>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21" t="s">
        <v>33</v>
      </c>
      <c r="B22" s="222"/>
      <c r="C22" s="222"/>
      <c r="D22" s="222"/>
      <c r="E22" s="223"/>
      <c r="G22" s="221" t="s">
        <v>34</v>
      </c>
      <c r="H22" s="222"/>
      <c r="I22" s="222"/>
      <c r="J22" s="222"/>
      <c r="K22" s="223"/>
      <c r="M22" s="225" t="s">
        <v>35</v>
      </c>
      <c r="N22" s="226"/>
      <c r="O22" s="226"/>
      <c r="P22" s="226"/>
      <c r="Q22" s="227"/>
      <c r="S22" s="221" t="s">
        <v>36</v>
      </c>
      <c r="T22" s="222"/>
      <c r="U22" s="222"/>
      <c r="V22" s="222"/>
      <c r="W22" s="22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24" t="s">
        <v>42</v>
      </c>
      <c r="B48" s="17">
        <v>2015</v>
      </c>
      <c r="C48" s="17">
        <v>2025</v>
      </c>
      <c r="D48" s="17">
        <v>2035</v>
      </c>
      <c r="E48" s="17">
        <v>2050</v>
      </c>
    </row>
    <row r="49" spans="1:5" ht="74.25" customHeight="1" x14ac:dyDescent="0.25">
      <c r="A49" s="224"/>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0.14334294445029838</v>
      </c>
      <c r="I4" s="4">
        <f>res_share_state_target*'LEAP Statewide'!I4</f>
        <v>0.86672478039715306</v>
      </c>
      <c r="J4" s="4">
        <f>res_share_state_target*'LEAP Statewide'!J4</f>
        <v>1.635109633787706</v>
      </c>
      <c r="K4" s="5">
        <f>res_share_state_target*'LEAP Statewide'!K4</f>
        <v>3.0102018334562661</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7.1729189050740647E-3</v>
      </c>
      <c r="U4" s="4">
        <f ca="1">com_share_state_target*'LEAP Statewide'!U4</f>
        <v>4.4848153154055319E-2</v>
      </c>
      <c r="V4" s="4">
        <f ca="1">com_share_state_target*'LEAP Statewide'!V4</f>
        <v>8.4142517155880961E-2</v>
      </c>
      <c r="W4" s="5">
        <f ca="1">com_share_state_target*'LEAP Statewide'!W4</f>
        <v>0.14962151716069541</v>
      </c>
      <c r="Y4" s="23"/>
    </row>
    <row r="5" spans="1:25" x14ac:dyDescent="0.25">
      <c r="A5" s="1" t="s">
        <v>3</v>
      </c>
      <c r="B5" s="4">
        <f>res_share_state_target*'LEAP Statewide'!B5</f>
        <v>12.632513674288505</v>
      </c>
      <c r="C5" s="4">
        <f>res_share_state_target*'LEAP Statewide'!C5</f>
        <v>11.637446955255621</v>
      </c>
      <c r="D5" s="4">
        <f>res_share_state_target*'LEAP Statewide'!D5</f>
        <v>10.829059419692891</v>
      </c>
      <c r="E5" s="5">
        <f>res_share_state_target*'LEAP Statewide'!E5</f>
        <v>9.8073242458785543</v>
      </c>
      <c r="G5" s="1" t="s">
        <v>3</v>
      </c>
      <c r="H5" s="4">
        <f>res_share_state_target*'LEAP Statewide'!H5</f>
        <v>12.670849578036842</v>
      </c>
      <c r="I5" s="4">
        <f>res_share_state_target*'LEAP Statewide'!I5</f>
        <v>11.894130832527084</v>
      </c>
      <c r="J5" s="4">
        <f>res_share_state_target*'LEAP Statewide'!J5</f>
        <v>11.104077859626603</v>
      </c>
      <c r="K5" s="5">
        <f>res_share_state_target*'LEAP Statewide'!K5</f>
        <v>10.574042320845267</v>
      </c>
      <c r="L5" s="21"/>
      <c r="M5" s="1" t="s">
        <v>14</v>
      </c>
      <c r="N5" s="4">
        <f ca="1">com_share_state_target*'LEAP Statewide'!N5</f>
        <v>0.67446329704507102</v>
      </c>
      <c r="O5" s="4">
        <f ca="1">com_share_state_target*'LEAP Statewide'!O5</f>
        <v>0.54493291681751999</v>
      </c>
      <c r="P5" s="4">
        <f ca="1">com_share_state_target*'LEAP Statewide'!P5</f>
        <v>0.39572923959304246</v>
      </c>
      <c r="Q5" s="5">
        <f ca="1">com_share_state_target*'LEAP Statewide'!Q5</f>
        <v>0.16156477533759059</v>
      </c>
      <c r="R5" s="2"/>
      <c r="S5" s="1" t="s">
        <v>14</v>
      </c>
      <c r="T5" s="4">
        <f ca="1">com_share_state_target*'LEAP Statewide'!T5</f>
        <v>0.66706404817454557</v>
      </c>
      <c r="U5" s="4">
        <f ca="1">com_share_state_target*'LEAP Statewide'!U5</f>
        <v>0.49895311383620783</v>
      </c>
      <c r="V5" s="4">
        <f ca="1">com_share_state_target*'LEAP Statewide'!V5</f>
        <v>0.3094278827667023</v>
      </c>
      <c r="W5" s="5">
        <f ca="1">com_share_state_target*'LEAP Statewide'!W5</f>
        <v>8.0782387668795284E-3</v>
      </c>
      <c r="Y5" s="92"/>
    </row>
    <row r="6" spans="1:25" x14ac:dyDescent="0.25">
      <c r="A6" s="1" t="s">
        <v>4</v>
      </c>
      <c r="B6" s="4">
        <f>res_share_state_target*'LEAP Statewide'!B6</f>
        <v>1.9167951874167808</v>
      </c>
      <c r="C6" s="4">
        <f>res_share_state_target*'LEAP Statewide'!C6</f>
        <v>1.5534374910195128</v>
      </c>
      <c r="D6" s="4">
        <f>res_share_state_target*'LEAP Statewide'!D6</f>
        <v>1.0584042991388312</v>
      </c>
      <c r="E6" s="5">
        <f>res_share_state_target*'LEAP Statewide'!E6</f>
        <v>0.41836138438401044</v>
      </c>
      <c r="G6" s="1" t="s">
        <v>4</v>
      </c>
      <c r="H6" s="4">
        <f>res_share_state_target*'LEAP Statewide'!H6</f>
        <v>1.9284626363836657</v>
      </c>
      <c r="I6" s="4">
        <f>res_share_state_target*'LEAP Statewide'!I6</f>
        <v>1.583439502648645</v>
      </c>
      <c r="J6" s="4">
        <f>res_share_state_target*'LEAP Statewide'!J6</f>
        <v>0.92172846838389544</v>
      </c>
      <c r="K6" s="5">
        <f>res_share_state_target*'LEAP Statewide'!K6</f>
        <v>0.29835333786748153</v>
      </c>
      <c r="L6" s="21"/>
      <c r="M6" s="1" t="s">
        <v>15</v>
      </c>
      <c r="N6" s="89">
        <f ca="1">com_share_state_target*'LEAP Statewide'!N6</f>
        <v>1.2392436108329414</v>
      </c>
      <c r="O6" s="89">
        <f ca="1">com_share_state_target*'LEAP Statewide'!O6</f>
        <v>1.252127008866327</v>
      </c>
      <c r="P6" s="89">
        <f ca="1">com_share_state_target*'LEAP Statewide'!P6</f>
        <v>1.2404623106469104</v>
      </c>
      <c r="Q6" s="90">
        <f ca="1">com_share_state_target*'LEAP Statewide'!Q6</f>
        <v>1.2462076097699066</v>
      </c>
      <c r="R6" s="4"/>
      <c r="S6" s="1" t="s">
        <v>15</v>
      </c>
      <c r="T6" s="89">
        <f ca="1">com_share_state_target*'LEAP Statewide'!T6</f>
        <v>1.239226200835599</v>
      </c>
      <c r="U6" s="89">
        <f ca="1">com_share_state_target*'LEAP Statewide'!U6</f>
        <v>1.2520747788742996</v>
      </c>
      <c r="V6" s="89">
        <f ca="1">com_share_state_target*'LEAP Statewide'!V6</f>
        <v>1.2403926706575408</v>
      </c>
      <c r="W6" s="90">
        <f ca="1">com_share_state_target*'LEAP Statewide'!W6</f>
        <v>1.2462772497592762</v>
      </c>
      <c r="Y6" s="92"/>
    </row>
    <row r="7" spans="1:25" x14ac:dyDescent="0.25">
      <c r="A7" s="1" t="s">
        <v>5</v>
      </c>
      <c r="B7" s="4">
        <f>res_share_state_target*'LEAP Statewide'!B7</f>
        <v>0.19334629716551877</v>
      </c>
      <c r="C7" s="4">
        <f>res_share_state_target*'LEAP Statewide'!C7</f>
        <v>1.0884063107679633</v>
      </c>
      <c r="D7" s="4">
        <f>res_share_state_target*'LEAP Statewide'!D7</f>
        <v>2.051804239747876</v>
      </c>
      <c r="E7" s="5">
        <f>res_share_state_target*'LEAP Statewide'!E7</f>
        <v>2.830189763681473</v>
      </c>
      <c r="G7" s="1" t="s">
        <v>5</v>
      </c>
      <c r="H7" s="4">
        <f>res_share_state_target*'LEAP Statewide'!H7</f>
        <v>0.33835602003965781</v>
      </c>
      <c r="I7" s="4">
        <f>res_share_state_target*'LEAP Statewide'!I7</f>
        <v>1.8951270679068519</v>
      </c>
      <c r="J7" s="4">
        <f>res_share_state_target*'LEAP Statewide'!J7</f>
        <v>3.6602454187541311</v>
      </c>
      <c r="K7" s="5">
        <f>res_share_state_target*'LEAP Statewide'!K7</f>
        <v>5.0420047321180537</v>
      </c>
      <c r="M7" s="1" t="s">
        <v>8</v>
      </c>
      <c r="N7" s="4">
        <f ca="1">com_share_state_target*'LEAP Statewide'!N7</f>
        <v>0.50436762300969817</v>
      </c>
      <c r="O7" s="4">
        <f ca="1">com_share_state_target*'LEAP Statewide'!O7</f>
        <v>0.51794742093678015</v>
      </c>
      <c r="P7" s="4">
        <f ca="1">com_share_state_target*'LEAP Statewide'!P7</f>
        <v>0.52177762035211095</v>
      </c>
      <c r="Q7" s="5">
        <f ca="1">com_share_state_target*'LEAP Statewide'!Q7</f>
        <v>0.53866531777425131</v>
      </c>
      <c r="R7" s="4"/>
      <c r="S7" s="1" t="s">
        <v>8</v>
      </c>
      <c r="T7" s="4">
        <f ca="1">com_share_state_target*'LEAP Statewide'!T7</f>
        <v>0.49010883518626208</v>
      </c>
      <c r="U7" s="4">
        <f ca="1">com_share_state_target*'LEAP Statewide'!U7</f>
        <v>0.42823370463132704</v>
      </c>
      <c r="V7" s="4">
        <f ca="1">com_share_state_target*'LEAP Statewide'!V7</f>
        <v>0.35352740603503385</v>
      </c>
      <c r="W7" s="5">
        <f ca="1">com_share_state_target*'LEAP Statewide'!W7</f>
        <v>0.23938746345817569</v>
      </c>
      <c r="Y7" s="92"/>
    </row>
    <row r="8" spans="1:25" x14ac:dyDescent="0.25">
      <c r="A8" s="1" t="s">
        <v>6</v>
      </c>
      <c r="B8" s="4">
        <f>res_share_state_target*'LEAP Statewide'!B8</f>
        <v>2.1668119509928828E-2</v>
      </c>
      <c r="C8" s="4">
        <f>res_share_state_target*'LEAP Statewide'!C8</f>
        <v>0.16001072868870519</v>
      </c>
      <c r="D8" s="4">
        <f>res_share_state_target*'LEAP Statewide'!D8</f>
        <v>0.54503654459590201</v>
      </c>
      <c r="E8" s="5">
        <f>res_share_state_target*'LEAP Statewide'!E8</f>
        <v>1.1317425497878211</v>
      </c>
      <c r="G8" s="1" t="s">
        <v>6</v>
      </c>
      <c r="H8" s="4">
        <f>res_share_state_target*'LEAP Statewide'!H8</f>
        <v>9.3339591735078026E-2</v>
      </c>
      <c r="I8" s="4">
        <f>res_share_state_target*'LEAP Statewide'!I8</f>
        <v>0.5800388914965563</v>
      </c>
      <c r="J8" s="4">
        <f>res_share_state_target*'LEAP Statewide'!J8</f>
        <v>1.261751266847394</v>
      </c>
      <c r="K8" s="5">
        <f>res_share_state_target*'LEAP Statewide'!K8</f>
        <v>2.0934737003438926</v>
      </c>
      <c r="M8" s="1" t="s">
        <v>9</v>
      </c>
      <c r="N8" s="4">
        <f ca="1">com_share_state_target*'LEAP Statewide'!N8</f>
        <v>0.48591302582674062</v>
      </c>
      <c r="O8" s="4">
        <f ca="1">com_share_state_target*'LEAP Statewide'!O8</f>
        <v>0.59019890990779311</v>
      </c>
      <c r="P8" s="4">
        <f ca="1">com_share_state_target*'LEAP Statewide'!P8</f>
        <v>0.68960999473297013</v>
      </c>
      <c r="Q8" s="5">
        <f ca="1">com_share_state_target*'LEAP Statewide'!Q8</f>
        <v>0.86475456799764272</v>
      </c>
      <c r="R8" s="4"/>
      <c r="S8" s="1" t="s">
        <v>9</v>
      </c>
      <c r="T8" s="4">
        <f ca="1">com_share_state_target*'LEAP Statewide'!T8</f>
        <v>0.45055332122430031</v>
      </c>
      <c r="U8" s="4">
        <f ca="1">com_share_state_target*'LEAP Statewide'!U8</f>
        <v>0.36914417365117813</v>
      </c>
      <c r="V8" s="4">
        <f ca="1">com_share_state_target*'LEAP Statewide'!V8</f>
        <v>0.27478198805530085</v>
      </c>
      <c r="W8" s="5">
        <f ca="1">com_share_state_target*'LEAP Statewide'!W8</f>
        <v>0.12716262058898292</v>
      </c>
      <c r="Y8" s="23"/>
    </row>
    <row r="9" spans="1:25" x14ac:dyDescent="0.25">
      <c r="A9" s="1" t="s">
        <v>7</v>
      </c>
      <c r="B9" s="4">
        <f>res_share_state_target*'LEAP Statewide'!B9</f>
        <v>1.6217754063969807</v>
      </c>
      <c r="C9" s="4">
        <f>res_share_state_target*'LEAP Statewide'!C9</f>
        <v>1.3017539490195702</v>
      </c>
      <c r="D9" s="4">
        <f>res_share_state_target*'LEAP Statewide'!D9</f>
        <v>0.99339994060904468</v>
      </c>
      <c r="E9" s="5">
        <f>res_share_state_target*'LEAP Statewide'!E9</f>
        <v>0.49169963503300029</v>
      </c>
      <c r="G9" s="1" t="s">
        <v>7</v>
      </c>
      <c r="H9" s="4">
        <f>res_share_state_target*'LEAP Statewide'!H9</f>
        <v>1.5917733947678485</v>
      </c>
      <c r="I9" s="4">
        <f>res_share_state_target*'LEAP Statewide'!I9</f>
        <v>1.1467435556023871</v>
      </c>
      <c r="J9" s="4">
        <f>res_share_state_target*'LEAP Statewide'!J9</f>
        <v>0.71171438697996992</v>
      </c>
      <c r="K9" s="5">
        <f>res_share_state_target*'LEAP Statewide'!K9</f>
        <v>0</v>
      </c>
      <c r="L9" s="21"/>
      <c r="M9" s="1" t="s">
        <v>16</v>
      </c>
      <c r="N9" s="4">
        <f ca="1">com_share_state_target*'LEAP Statewide'!N9</f>
        <v>6.8421289555682219E-2</v>
      </c>
      <c r="O9" s="4">
        <f ca="1">com_share_state_target*'LEAP Statewide'!O9</f>
        <v>5.1011292213269437E-2</v>
      </c>
      <c r="P9" s="4">
        <f ca="1">com_share_state_target*'LEAP Statewide'!P9</f>
        <v>3.1337995216343E-2</v>
      </c>
      <c r="Q9" s="5">
        <f ca="1">com_share_state_target*'LEAP Statewide'!Q9</f>
        <v>0</v>
      </c>
      <c r="R9" s="2"/>
      <c r="S9" s="1" t="s">
        <v>16</v>
      </c>
      <c r="T9" s="4">
        <f ca="1">com_share_state_target*'LEAP Statewide'!T9</f>
        <v>6.836905956365498E-2</v>
      </c>
      <c r="U9" s="4">
        <f ca="1">com_share_state_target*'LEAP Statewide'!U9</f>
        <v>5.0924242226557372E-2</v>
      </c>
      <c r="V9" s="4">
        <f ca="1">com_share_state_target*'LEAP Statewide'!V9</f>
        <v>3.1268355226973348E-2</v>
      </c>
      <c r="W9" s="5">
        <f ca="1">com_share_state_target*'LEAP Statewide'!W9</f>
        <v>0</v>
      </c>
      <c r="Y9" s="23"/>
    </row>
    <row r="10" spans="1:25" x14ac:dyDescent="0.25">
      <c r="A10" s="1" t="s">
        <v>8</v>
      </c>
      <c r="B10" s="4">
        <f>res_share_state_target*'LEAP Statewide'!B10</f>
        <v>9.3556272930177311</v>
      </c>
      <c r="C10" s="4">
        <f>res_share_state_target*'LEAP Statewide'!C10</f>
        <v>7.4955025720115334</v>
      </c>
      <c r="D10" s="4">
        <f>res_share_state_target*'LEAP Statewide'!D10</f>
        <v>5.537037923998736</v>
      </c>
      <c r="E10" s="5">
        <f>res_share_state_target*'LEAP Statewide'!E10</f>
        <v>1.998467330184974</v>
      </c>
      <c r="G10" s="1" t="s">
        <v>8</v>
      </c>
      <c r="H10" s="4">
        <f>res_share_state_target*'LEAP Statewide'!H10</f>
        <v>9.2456199170442463</v>
      </c>
      <c r="I10" s="4">
        <f>res_share_state_target*'LEAP Statewide'!I10</f>
        <v>7.0638069602367972</v>
      </c>
      <c r="J10" s="4">
        <f>res_share_state_target*'LEAP Statewide'!J10</f>
        <v>4.943664805111454</v>
      </c>
      <c r="K10" s="5">
        <f>res_share_state_target*'LEAP Statewide'!K10</f>
        <v>1.6684452022645198</v>
      </c>
      <c r="L10" s="21"/>
      <c r="M10" s="1" t="s">
        <v>17</v>
      </c>
      <c r="N10" s="4">
        <f ca="1">com_share_state_target*'LEAP Statewide'!N10</f>
        <v>0.21779906675358385</v>
      </c>
      <c r="O10" s="4">
        <f ca="1">com_share_state_target*'LEAP Statewide'!O10</f>
        <v>0.23172706462751408</v>
      </c>
      <c r="P10" s="4">
        <f ca="1">com_share_state_target*'LEAP Statewide'!P10</f>
        <v>0.24199896305953761</v>
      </c>
      <c r="Q10" s="5">
        <f ca="1">com_share_state_target*'LEAP Statewide'!Q10</f>
        <v>0.26323915981728119</v>
      </c>
      <c r="R10" s="4"/>
      <c r="S10" s="1" t="s">
        <v>17</v>
      </c>
      <c r="T10" s="4">
        <f ca="1">com_share_state_target*'LEAP Statewide'!T10</f>
        <v>0.23381626430860361</v>
      </c>
      <c r="U10" s="4">
        <f ca="1">com_share_state_target*'LEAP Statewide'!U10</f>
        <v>0.33218274929323582</v>
      </c>
      <c r="V10" s="4">
        <f ca="1">com_share_state_target*'LEAP Statewide'!V10</f>
        <v>0.43040995429912865</v>
      </c>
      <c r="W10" s="5">
        <f ca="1">com_share_state_target*'LEAP Statewide'!W10</f>
        <v>0.59845124864809685</v>
      </c>
      <c r="Y10" s="23"/>
    </row>
    <row r="11" spans="1:25" x14ac:dyDescent="0.25">
      <c r="A11" s="1" t="s">
        <v>9</v>
      </c>
      <c r="B11" s="4">
        <f>res_share_state_target*'LEAP Statewide'!B11</f>
        <v>8.0772082419319311</v>
      </c>
      <c r="C11" s="4">
        <f>res_share_state_target*'LEAP Statewide'!C11</f>
        <v>10.48403628595787</v>
      </c>
      <c r="D11" s="4">
        <f>res_share_state_target*'LEAP Statewide'!D11</f>
        <v>13.474236778328049</v>
      </c>
      <c r="E11" s="5">
        <f>res_share_state_target*'LEAP Statewide'!E11</f>
        <v>19.73465653827364</v>
      </c>
      <c r="G11" s="1" t="s">
        <v>9</v>
      </c>
      <c r="H11" s="4">
        <f>res_share_state_target*'LEAP Statewide'!H11</f>
        <v>7.3554931844089166</v>
      </c>
      <c r="I11" s="4">
        <f>res_share_state_target*'LEAP Statewide'!I11</f>
        <v>5.8503922676807836</v>
      </c>
      <c r="J11" s="4">
        <f>res_share_state_target*'LEAP Statewide'!J11</f>
        <v>3.2618853754562087</v>
      </c>
      <c r="K11" s="5">
        <f>res_share_state_target*'LEAP Statewide'!K11</f>
        <v>0.40502715699328501</v>
      </c>
      <c r="L11" s="21"/>
      <c r="M11" s="7" t="s">
        <v>12</v>
      </c>
      <c r="N11" s="8">
        <f ca="1">SUM(N4:N10)</f>
        <v>3.1902079130237175</v>
      </c>
      <c r="O11" s="8">
        <f ca="1">SUM(O4:O10)</f>
        <v>3.1879446133692038</v>
      </c>
      <c r="P11" s="8">
        <f ca="1">SUM(P4:P10)</f>
        <v>3.1209161236009142</v>
      </c>
      <c r="Q11" s="9">
        <f ca="1">SUM(Q4:Q10)</f>
        <v>3.0744314306966722</v>
      </c>
      <c r="R11" s="4"/>
      <c r="S11" s="7" t="s">
        <v>12</v>
      </c>
      <c r="T11" s="8">
        <f ca="1">SUM(T4:T10)</f>
        <v>3.1563106481980396</v>
      </c>
      <c r="U11" s="8">
        <f ca="1">SUM(U4:U10)</f>
        <v>2.9763609156668611</v>
      </c>
      <c r="V11" s="8">
        <f ca="1">SUM(V4:V10)</f>
        <v>2.723950774196561</v>
      </c>
      <c r="W11" s="9">
        <f ca="1">SUM(W4:W10)</f>
        <v>2.3689783383821066</v>
      </c>
    </row>
    <row r="12" spans="1:25" x14ac:dyDescent="0.25">
      <c r="A12" s="1" t="s">
        <v>10</v>
      </c>
      <c r="B12" s="4">
        <f>res_share_state_target*'LEAP Statewide'!B12</f>
        <v>17.299493261042407</v>
      </c>
      <c r="C12" s="4">
        <f>res_share_state_target*'LEAP Statewide'!C12</f>
        <v>13.590911267996896</v>
      </c>
      <c r="D12" s="4">
        <f>res_share_state_target*'LEAP Statewide'!D12</f>
        <v>8.9589340281436503</v>
      </c>
      <c r="E12" s="5">
        <f>res_share_state_target*'LEAP Statewide'!E12</f>
        <v>2.3984941519067369</v>
      </c>
      <c r="G12" s="1" t="s">
        <v>10</v>
      </c>
      <c r="H12" s="4">
        <f>res_share_state_target*'LEAP Statewide'!H12</f>
        <v>16.961137241002749</v>
      </c>
      <c r="I12" s="4">
        <f>res_share_state_target*'LEAP Statewide'!I12</f>
        <v>12.154148266646231</v>
      </c>
      <c r="J12" s="4">
        <f>res_share_state_target*'LEAP Statewide'!J12</f>
        <v>7.4905022367400109</v>
      </c>
      <c r="K12" s="5">
        <f>res_share_state_target*'LEAP Statewide'!K12</f>
        <v>0</v>
      </c>
      <c r="L12" s="21"/>
    </row>
    <row r="13" spans="1:25" x14ac:dyDescent="0.25">
      <c r="A13" s="1" t="s">
        <v>11</v>
      </c>
      <c r="B13" s="4">
        <f>res_share_state_target*'LEAP Statewide'!B13</f>
        <v>1.0734053049533974</v>
      </c>
      <c r="C13" s="4">
        <f>res_share_state_target*'LEAP Statewide'!C13</f>
        <v>1.4217619955360992</v>
      </c>
      <c r="D13" s="4">
        <f>res_share_state_target*'LEAP Statewide'!D13</f>
        <v>1.755117680304235</v>
      </c>
      <c r="E13" s="5">
        <f>res_share_state_target*'LEAP Statewide'!E13</f>
        <v>2.2701522132710048</v>
      </c>
      <c r="G13" s="1" t="s">
        <v>11</v>
      </c>
      <c r="H13" s="4">
        <f>res_share_state_target*'LEAP Statewide'!H13</f>
        <v>1.2350828120659432</v>
      </c>
      <c r="I13" s="4">
        <f>res_share_state_target*'LEAP Statewide'!I13</f>
        <v>2.2601515427279608</v>
      </c>
      <c r="J13" s="4">
        <f>res_share_state_target*'LEAP Statewide'!J13</f>
        <v>3.0452041803569205</v>
      </c>
      <c r="K13" s="5">
        <f>res_share_state_target*'LEAP Statewide'!K13</f>
        <v>3.7902541358137039</v>
      </c>
      <c r="L13" s="21"/>
      <c r="N13" s="21"/>
      <c r="O13" s="21"/>
      <c r="P13" s="21"/>
      <c r="Q13" s="21"/>
      <c r="T13" s="21"/>
      <c r="U13" s="21"/>
      <c r="V13" s="21"/>
      <c r="W13" s="21"/>
    </row>
    <row r="14" spans="1:25" x14ac:dyDescent="0.25">
      <c r="A14" s="7" t="s">
        <v>12</v>
      </c>
      <c r="B14" s="8">
        <f>SUM(B4:B13)</f>
        <v>52.191832785723186</v>
      </c>
      <c r="C14" s="8">
        <f>SUM(C4:C13)</f>
        <v>48.733267556253772</v>
      </c>
      <c r="D14" s="8">
        <f>SUM(D4:D13)</f>
        <v>45.203030854559223</v>
      </c>
      <c r="E14" s="9">
        <f>SUM(E4:E13)</f>
        <v>41.081087812401215</v>
      </c>
      <c r="G14" s="7" t="s">
        <v>12</v>
      </c>
      <c r="H14" s="8">
        <f>SUM(H4:H13)</f>
        <v>51.563457319935239</v>
      </c>
      <c r="I14" s="8">
        <f>SUM(I4:I13)</f>
        <v>45.294703667870451</v>
      </c>
      <c r="J14" s="8">
        <f>SUM(J4:J13)</f>
        <v>38.035883632044296</v>
      </c>
      <c r="K14" s="9">
        <f>SUM(K4:K13)</f>
        <v>26.881802419702471</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21" t="s">
        <v>472</v>
      </c>
      <c r="B22" s="222"/>
      <c r="C22" s="222"/>
      <c r="D22" s="222"/>
      <c r="E22" s="223"/>
      <c r="G22" s="221" t="s">
        <v>473</v>
      </c>
      <c r="H22" s="222"/>
      <c r="I22" s="222"/>
      <c r="J22" s="222"/>
      <c r="K22" s="22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46.669795867539015</v>
      </c>
      <c r="C24" s="4">
        <f>res_share_state_target*'LEAP Statewide'!C24*1000</f>
        <v>38.33590374833561</v>
      </c>
      <c r="D24" s="4">
        <f>res_share_state_target*'LEAP Statewide'!D24*1000</f>
        <v>33.335568476813577</v>
      </c>
      <c r="E24" s="5">
        <f>res_share_state_target*'LEAP Statewide'!E24*1000</f>
        <v>28.335233205291541</v>
      </c>
      <c r="G24" s="1" t="s">
        <v>21</v>
      </c>
      <c r="H24" s="4">
        <f>res_share_state_target*'LEAP Statewide'!H24*1000</f>
        <v>46.669795867539015</v>
      </c>
      <c r="I24" s="4">
        <f>res_share_state_target*'LEAP Statewide'!I24*1000</f>
        <v>38.33590374833561</v>
      </c>
      <c r="J24" s="4">
        <f>res_share_state_target*'LEAP Statewide'!J24*1000</f>
        <v>18.334562662247468</v>
      </c>
      <c r="K24" s="5">
        <f>res_share_state_target*'LEAP Statewide'!K24*1000</f>
        <v>1.6667784238406789</v>
      </c>
    </row>
    <row r="25" spans="1:16" x14ac:dyDescent="0.25">
      <c r="A25" s="1" t="s">
        <v>22</v>
      </c>
      <c r="B25" s="4">
        <f>res_share_state_target*'LEAP Statewide'!B25*1000</f>
        <v>6.6671136953627155</v>
      </c>
      <c r="C25" s="4">
        <f>res_share_state_target*'LEAP Statewide'!C25*1000</f>
        <v>5.0003352715220375</v>
      </c>
      <c r="D25" s="4">
        <f>res_share_state_target*'LEAP Statewide'!D25*1000</f>
        <v>5.0003352715220375</v>
      </c>
      <c r="E25" s="5">
        <f>res_share_state_target*'LEAP Statewide'!E25*1000</f>
        <v>3.3335568476813577</v>
      </c>
      <c r="G25" s="1" t="s">
        <v>22</v>
      </c>
      <c r="H25" s="4">
        <f>res_share_state_target*'LEAP Statewide'!H25*1000</f>
        <v>6.6671136953627155</v>
      </c>
      <c r="I25" s="4">
        <f>res_share_state_target*'LEAP Statewide'!I25*1000</f>
        <v>5.0003352715220375</v>
      </c>
      <c r="J25" s="4">
        <f>res_share_state_target*'LEAP Statewide'!J25*1000</f>
        <v>1.6667784238406789</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3.3335568476813577</v>
      </c>
      <c r="K26" s="5">
        <f>res_share_state_target*'LEAP Statewide'!K26*1000</f>
        <v>8.3338921192033943</v>
      </c>
    </row>
    <row r="27" spans="1:16" x14ac:dyDescent="0.25">
      <c r="A27" s="1" t="s">
        <v>20</v>
      </c>
      <c r="B27" s="4">
        <f>res_share_state_target*'LEAP Statewide'!B27*1000</f>
        <v>1.6667784238406789</v>
      </c>
      <c r="C27" s="4">
        <f>res_share_state_target*'LEAP Statewide'!C27*1000</f>
        <v>1.6667784238406789</v>
      </c>
      <c r="D27" s="4">
        <f>res_share_state_target*'LEAP Statewide'!D27*1000</f>
        <v>1.6667784238406789</v>
      </c>
      <c r="E27" s="5">
        <f>res_share_state_target*'LEAP Statewide'!E27*1000</f>
        <v>1.6667784238406789</v>
      </c>
      <c r="G27" s="1" t="s">
        <v>20</v>
      </c>
      <c r="H27" s="4">
        <f>res_share_state_target*'LEAP Statewide'!H27*1000</f>
        <v>1.6667784238406789</v>
      </c>
      <c r="I27" s="4">
        <f>res_share_state_target*'LEAP Statewide'!I27*1000</f>
        <v>1.6667784238406789</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1.6667784238406789</v>
      </c>
      <c r="K28" s="5">
        <f>res_share_state_target*'LEAP Statewide'!K28*1000</f>
        <v>1.6667784238406789</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55.003687986742406</v>
      </c>
      <c r="C30" s="8">
        <f>SUM(C24:C29)</f>
        <v>45.003017443698326</v>
      </c>
      <c r="D30" s="8">
        <f>SUM(D24:D29)</f>
        <v>40.002682172176293</v>
      </c>
      <c r="E30" s="9">
        <f>SUM(E24:E29)</f>
        <v>33.335568476813577</v>
      </c>
      <c r="G30" s="7" t="s">
        <v>12</v>
      </c>
      <c r="H30" s="8">
        <f>SUM(H24:H29)</f>
        <v>55.003687986742406</v>
      </c>
      <c r="I30" s="8">
        <f>SUM(I24:I29)</f>
        <v>45.003017443698326</v>
      </c>
      <c r="J30" s="8">
        <f>SUM(J24:J29)</f>
        <v>25.001676357610183</v>
      </c>
      <c r="K30" s="9">
        <f>SUM(K24:K29)</f>
        <v>11.667448966884752</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24" t="s">
        <v>184</v>
      </c>
      <c r="B48" s="17">
        <v>2015</v>
      </c>
      <c r="C48" s="17">
        <v>2025</v>
      </c>
      <c r="D48" s="17">
        <v>2035</v>
      </c>
      <c r="E48" s="17">
        <v>2050</v>
      </c>
    </row>
    <row r="49" spans="1:5" ht="89.25" customHeight="1" x14ac:dyDescent="0.25">
      <c r="A49" s="224"/>
      <c r="B49" s="20">
        <f>res_share_state_target*'LEAP Statewide'!B49</f>
        <v>0.17167817765558993</v>
      </c>
      <c r="C49" s="20">
        <f>res_share_state_target*'LEAP Statewide'!C49</f>
        <v>0.82172176295345478</v>
      </c>
      <c r="D49" s="20">
        <f>res_share_state_target*'LEAP Statewide'!D49</f>
        <v>1.4250955523837805</v>
      </c>
      <c r="E49" s="20">
        <f>res_share_state_target*'LEAP Statewide'!E49</f>
        <v>2.3501575776153572</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0.22660465116279072</v>
      </c>
      <c r="I4" s="4">
        <f>res_share_region_target*'LEAP Scenario'!I4</f>
        <v>0.80930232558139548</v>
      </c>
      <c r="J4" s="4">
        <f>res_share_region_target*'LEAP Scenario'!J4</f>
        <v>1.3272558139534885</v>
      </c>
      <c r="K4" s="5">
        <f>res_share_region_target*'LEAP Scenario'!K4</f>
        <v>2.0556279069767447</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1.6449623029472241E-2</v>
      </c>
      <c r="U4" s="4">
        <f>com_share_region_target*'LEAP Scenario'!U4</f>
        <v>0.10075394105551748</v>
      </c>
      <c r="V4" s="4">
        <f>com_share_region_target*'LEAP Scenario'!V4</f>
        <v>0.18917066483893077</v>
      </c>
      <c r="W4" s="5">
        <f>com_share_region_target*'LEAP Scenario'!W4</f>
        <v>0.33721727210418095</v>
      </c>
      <c r="Y4" s="23"/>
    </row>
    <row r="5" spans="1:25" x14ac:dyDescent="0.25">
      <c r="A5" s="1" t="s">
        <v>3</v>
      </c>
      <c r="B5" s="4">
        <f>res_share_region_target*'LEAP Scenario'!B5</f>
        <v>30.591627906976747</v>
      </c>
      <c r="C5" s="4">
        <f>res_share_region_target*'LEAP Scenario'!C5</f>
        <v>25.379720930232562</v>
      </c>
      <c r="D5" s="4">
        <f>res_share_region_target*'LEAP Scenario'!D5</f>
        <v>21.058046511627911</v>
      </c>
      <c r="E5" s="5">
        <f>res_share_region_target*'LEAP Scenario'!E5</f>
        <v>16.040372093023258</v>
      </c>
      <c r="G5" s="1" t="s">
        <v>3</v>
      </c>
      <c r="H5" s="4">
        <f>res_share_region_target*'LEAP Scenario'!H5</f>
        <v>30.089860465116285</v>
      </c>
      <c r="I5" s="4">
        <f>res_share_region_target*'LEAP Scenario'!I5</f>
        <v>23.793488372093027</v>
      </c>
      <c r="J5" s="4">
        <f>res_share_region_target*'LEAP Scenario'!J5</f>
        <v>18.257860465116281</v>
      </c>
      <c r="K5" s="5">
        <f>res_share_region_target*'LEAP Scenario'!K5</f>
        <v>12.139534883720932</v>
      </c>
      <c r="L5" s="21"/>
      <c r="M5" s="1" t="s">
        <v>14</v>
      </c>
      <c r="N5" s="4">
        <f>com_share_region_target*'LEAP Scenario'!N5</f>
        <v>0.84921178889650439</v>
      </c>
      <c r="O5" s="4">
        <f>com_share_region_target*'LEAP Scenario'!O5</f>
        <v>0.69705277587388614</v>
      </c>
      <c r="P5" s="4">
        <f>com_share_region_target*'LEAP Scenario'!P5</f>
        <v>0.52021932830705964</v>
      </c>
      <c r="Q5" s="5">
        <f>com_share_region_target*'LEAP Scenario'!Q5</f>
        <v>0.24263193968471555</v>
      </c>
      <c r="R5" s="2"/>
      <c r="S5" s="1" t="s">
        <v>14</v>
      </c>
      <c r="T5" s="4">
        <f>com_share_region_target*'LEAP Scenario'!T5</f>
        <v>0.83893077450308429</v>
      </c>
      <c r="U5" s="4">
        <f>com_share_region_target*'LEAP Scenario'!U5</f>
        <v>0.62508567511994517</v>
      </c>
      <c r="V5" s="4">
        <f>com_share_region_target*'LEAP Scenario'!V5</f>
        <v>0.38450993831391361</v>
      </c>
      <c r="W5" s="5">
        <f>com_share_region_target*'LEAP Scenario'!W5</f>
        <v>2.0562028786840301E-3</v>
      </c>
      <c r="Y5" s="92"/>
    </row>
    <row r="6" spans="1:25" x14ac:dyDescent="0.25">
      <c r="A6" s="1" t="s">
        <v>4</v>
      </c>
      <c r="B6" s="4">
        <f>res_share_region_target*'LEAP Scenario'!B6</f>
        <v>3.0915348837209309</v>
      </c>
      <c r="C6" s="4">
        <f>res_share_region_target*'LEAP Scenario'!C6</f>
        <v>2.2984186046511632</v>
      </c>
      <c r="D6" s="4">
        <f>res_share_region_target*'LEAP Scenario'!D6</f>
        <v>1.3272558139534885</v>
      </c>
      <c r="E6" s="5">
        <f>res_share_region_target*'LEAP Scenario'!E6</f>
        <v>0.38846511627906982</v>
      </c>
      <c r="G6" s="1" t="s">
        <v>4</v>
      </c>
      <c r="H6" s="4">
        <f>res_share_region_target*'LEAP Scenario'!H6</f>
        <v>3.3505116279069771</v>
      </c>
      <c r="I6" s="4">
        <f>res_share_region_target*'LEAP Scenario'!I6</f>
        <v>3.0267906976744192</v>
      </c>
      <c r="J6" s="4">
        <f>res_share_region_target*'LEAP Scenario'!J6</f>
        <v>1.6509767441860468</v>
      </c>
      <c r="K6" s="5">
        <f>res_share_region_target*'LEAP Scenario'!K6</f>
        <v>0.50176744186046518</v>
      </c>
      <c r="L6" s="21"/>
      <c r="M6" s="1" t="s">
        <v>15</v>
      </c>
      <c r="N6" s="89">
        <f>com_share_region_target*'LEAP Scenario'!N6</f>
        <v>1.5503769705277586</v>
      </c>
      <c r="O6" s="89">
        <f>com_share_region_target*'LEAP Scenario'!O6</f>
        <v>1.6490747087045921</v>
      </c>
      <c r="P6" s="89">
        <f>com_share_region_target*'LEAP Scenario'!P6</f>
        <v>1.7210418094585331</v>
      </c>
      <c r="Q6" s="90">
        <f>com_share_region_target*'LEAP Scenario'!Q6</f>
        <v>1.8732008224811514</v>
      </c>
      <c r="R6" s="4"/>
      <c r="S6" s="1" t="s">
        <v>15</v>
      </c>
      <c r="T6" s="89">
        <f>com_share_region_target*'LEAP Scenario'!T6</f>
        <v>1.5298149417409184</v>
      </c>
      <c r="U6" s="89">
        <f>com_share_region_target*'LEAP Scenario'!U6</f>
        <v>1.5154215215901301</v>
      </c>
      <c r="V6" s="89">
        <f>com_share_region_target*'LEAP Scenario'!V6</f>
        <v>1.4681288553803975</v>
      </c>
      <c r="W6" s="90">
        <f>com_share_region_target*'LEAP Scenario'!W6</f>
        <v>1.4228923920493488</v>
      </c>
      <c r="Y6" s="92"/>
    </row>
    <row r="7" spans="1:25" x14ac:dyDescent="0.25">
      <c r="A7" s="1" t="s">
        <v>5</v>
      </c>
      <c r="B7" s="4">
        <f>res_share_region_target*'LEAP Scenario'!B7</f>
        <v>0.42083720930232565</v>
      </c>
      <c r="C7" s="4">
        <f>res_share_region_target*'LEAP Scenario'!C7</f>
        <v>1.9908837209302328</v>
      </c>
      <c r="D7" s="4">
        <f>res_share_region_target*'LEAP Scenario'!D7</f>
        <v>3.0915348837209309</v>
      </c>
      <c r="E7" s="5">
        <f>res_share_region_target*'LEAP Scenario'!E7</f>
        <v>3.8846511627906981</v>
      </c>
      <c r="G7" s="1" t="s">
        <v>5</v>
      </c>
      <c r="H7" s="4">
        <f>res_share_region_target*'LEAP Scenario'!H7</f>
        <v>0.37227906976744191</v>
      </c>
      <c r="I7" s="4">
        <f>res_share_region_target*'LEAP Scenario'!I7</f>
        <v>1.7804651162790701</v>
      </c>
      <c r="J7" s="4">
        <f>res_share_region_target*'LEAP Scenario'!J7</f>
        <v>3.6418604651162796</v>
      </c>
      <c r="K7" s="5">
        <f>res_share_region_target*'LEAP Scenario'!K7</f>
        <v>4.3702325581395352</v>
      </c>
      <c r="M7" s="1" t="s">
        <v>8</v>
      </c>
      <c r="N7" s="4">
        <f>com_share_region_target*'LEAP Scenario'!N7</f>
        <v>0.63947909527073332</v>
      </c>
      <c r="O7" s="4">
        <f>com_share_region_target*'LEAP Scenario'!O7</f>
        <v>0.69088416723783408</v>
      </c>
      <c r="P7" s="4">
        <f>com_share_region_target*'LEAP Scenario'!P7</f>
        <v>0.72995202193283071</v>
      </c>
      <c r="Q7" s="5">
        <f>com_share_region_target*'LEAP Scenario'!Q7</f>
        <v>0.81014393420150788</v>
      </c>
      <c r="R7" s="4"/>
      <c r="S7" s="1" t="s">
        <v>8</v>
      </c>
      <c r="T7" s="4">
        <f>com_share_region_target*'LEAP Scenario'!T7</f>
        <v>0.61480466072652495</v>
      </c>
      <c r="U7" s="4">
        <f>com_share_region_target*'LEAP Scenario'!U7</f>
        <v>0.53050034270047974</v>
      </c>
      <c r="V7" s="4">
        <f>com_share_region_target*'LEAP Scenario'!V7</f>
        <v>0.42974640164496231</v>
      </c>
      <c r="W7" s="5">
        <f>com_share_region_target*'LEAP Scenario'!W7</f>
        <v>0.27347498286497601</v>
      </c>
      <c r="Y7" s="92"/>
    </row>
    <row r="8" spans="1:25" x14ac:dyDescent="0.25">
      <c r="A8" s="1" t="s">
        <v>6</v>
      </c>
      <c r="B8" s="4">
        <f>res_share_region_target*'LEAP Scenario'!B8</f>
        <v>4.8558139534883728E-2</v>
      </c>
      <c r="C8" s="4">
        <f>res_share_region_target*'LEAP Scenario'!C8</f>
        <v>0.21041860465116283</v>
      </c>
      <c r="D8" s="4">
        <f>res_share_region_target*'LEAP Scenario'!D8</f>
        <v>0.76074418604651173</v>
      </c>
      <c r="E8" s="5">
        <f>res_share_region_target*'LEAP Scenario'!E8</f>
        <v>1.8290232558139536</v>
      </c>
      <c r="G8" s="1" t="s">
        <v>6</v>
      </c>
      <c r="H8" s="4">
        <f>res_share_region_target*'LEAP Scenario'!H8</f>
        <v>0.25897674418604655</v>
      </c>
      <c r="I8" s="4">
        <f>res_share_region_target*'LEAP Scenario'!I8</f>
        <v>0.74455813953488381</v>
      </c>
      <c r="J8" s="4">
        <f>res_share_region_target*'LEAP Scenario'!J8</f>
        <v>1.4567441860465118</v>
      </c>
      <c r="K8" s="5">
        <f>res_share_region_target*'LEAP Scenario'!K8</f>
        <v>2.0394418604651166</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2.0880000000000001</v>
      </c>
      <c r="C9" s="4">
        <f>res_share_region_target*'LEAP Scenario'!C9</f>
        <v>2.6545116279069769</v>
      </c>
      <c r="D9" s="4">
        <f>res_share_region_target*'LEAP Scenario'!D9</f>
        <v>3.2533953488372096</v>
      </c>
      <c r="E9" s="5">
        <f>res_share_region_target*'LEAP Scenario'!E9</f>
        <v>0.82548837209302339</v>
      </c>
      <c r="G9" s="1" t="s">
        <v>7</v>
      </c>
      <c r="H9" s="4">
        <f>res_share_region_target*'LEAP Scenario'!H9</f>
        <v>1.9423255813953491</v>
      </c>
      <c r="I9" s="4">
        <f>res_share_region_target*'LEAP Scenario'!I9</f>
        <v>2.2498604651162792</v>
      </c>
      <c r="J9" s="4">
        <f>res_share_region_target*'LEAP Scenario'!J9</f>
        <v>2.6059534883720934</v>
      </c>
      <c r="K9" s="5">
        <f>res_share_region_target*'LEAP Scenario'!K9</f>
        <v>0</v>
      </c>
      <c r="L9" s="21"/>
      <c r="M9" s="1" t="s">
        <v>16</v>
      </c>
      <c r="N9" s="4">
        <f>com_share_region_target*'LEAP Scenario'!N9</f>
        <v>8.636052090472926E-2</v>
      </c>
      <c r="O9" s="4">
        <f>com_share_region_target*'LEAP Scenario'!O9</f>
        <v>6.3742289239204927E-2</v>
      </c>
      <c r="P9" s="4">
        <f>com_share_region_target*'LEAP Scenario'!P9</f>
        <v>3.9067854694996573E-2</v>
      </c>
      <c r="Q9" s="5">
        <f>com_share_region_target*'LEAP Scenario'!Q9</f>
        <v>0</v>
      </c>
      <c r="R9" s="2"/>
      <c r="S9" s="1" t="s">
        <v>16</v>
      </c>
      <c r="T9" s="4">
        <f>com_share_region_target*'LEAP Scenario'!T9</f>
        <v>8.636052090472926E-2</v>
      </c>
      <c r="U9" s="4">
        <f>com_share_region_target*'LEAP Scenario'!U9</f>
        <v>6.3742289239204927E-2</v>
      </c>
      <c r="V9" s="4">
        <f>com_share_region_target*'LEAP Scenario'!V9</f>
        <v>3.9067854694996573E-2</v>
      </c>
      <c r="W9" s="5">
        <f>com_share_region_target*'LEAP Scenario'!W9</f>
        <v>0</v>
      </c>
      <c r="Y9" s="23"/>
    </row>
    <row r="10" spans="1:25" x14ac:dyDescent="0.25">
      <c r="A10" s="1" t="s">
        <v>8</v>
      </c>
      <c r="B10" s="4">
        <f>res_share_region_target*'LEAP Scenario'!B10</f>
        <v>11.702511627906979</v>
      </c>
      <c r="C10" s="4">
        <f>res_share_region_target*'LEAP Scenario'!C10</f>
        <v>9.5497674418604657</v>
      </c>
      <c r="D10" s="4">
        <f>res_share_region_target*'LEAP Scenario'!D10</f>
        <v>7.6398139534883729</v>
      </c>
      <c r="E10" s="5">
        <f>res_share_region_target*'LEAP Scenario'!E10</f>
        <v>5.1147906976744197</v>
      </c>
      <c r="G10" s="1" t="s">
        <v>8</v>
      </c>
      <c r="H10" s="4">
        <f>res_share_region_target*'LEAP Scenario'!H10</f>
        <v>11.443534883720933</v>
      </c>
      <c r="I10" s="4">
        <f>res_share_region_target*'LEAP Scenario'!I10</f>
        <v>8.9508837209302339</v>
      </c>
      <c r="J10" s="4">
        <f>res_share_region_target*'LEAP Scenario'!J10</f>
        <v>5.7298604651162801</v>
      </c>
      <c r="K10" s="5">
        <f>res_share_region_target*'LEAP Scenario'!K10</f>
        <v>2.0070697674418607</v>
      </c>
      <c r="L10" s="21"/>
      <c r="M10" s="1" t="s">
        <v>17</v>
      </c>
      <c r="N10" s="4">
        <f>com_share_region_target*'LEAP Scenario'!N10</f>
        <v>0.27758738862234406</v>
      </c>
      <c r="O10" s="4">
        <f>com_share_region_target*'LEAP Scenario'!O10</f>
        <v>0.31048663468128856</v>
      </c>
      <c r="P10" s="4">
        <f>com_share_region_target*'LEAP Scenario'!P10</f>
        <v>0.341329677861549</v>
      </c>
      <c r="Q10" s="5">
        <f>com_share_region_target*'LEAP Scenario'!Q10</f>
        <v>0.39479095270733378</v>
      </c>
      <c r="R10" s="4"/>
      <c r="S10" s="1" t="s">
        <v>17</v>
      </c>
      <c r="T10" s="4">
        <f>com_share_region_target*'LEAP Scenario'!T10</f>
        <v>0.28992460589444824</v>
      </c>
      <c r="U10" s="4">
        <f>com_share_region_target*'LEAP Scenario'!U10</f>
        <v>0.3968471555860178</v>
      </c>
      <c r="V10" s="4">
        <f>com_share_region_target*'LEAP Scenario'!V10</f>
        <v>0.50171350239890333</v>
      </c>
      <c r="W10" s="5">
        <f>com_share_region_target*'LEAP Scenario'!W10</f>
        <v>0.68265935572309799</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3.4030157642220695</v>
      </c>
      <c r="O11" s="8">
        <f>SUM(O4:O10)</f>
        <v>3.4112405757368061</v>
      </c>
      <c r="P11" s="8">
        <f>SUM(P4:P10)</f>
        <v>3.3516106922549693</v>
      </c>
      <c r="Q11" s="9">
        <f>SUM(Q4:Q10)</f>
        <v>3.3207676490747087</v>
      </c>
      <c r="R11" s="4"/>
      <c r="S11" s="7" t="s">
        <v>12</v>
      </c>
      <c r="T11" s="8">
        <f>SUM(T4:T10)</f>
        <v>3.3762851267991776</v>
      </c>
      <c r="U11" s="8">
        <f>SUM(U4:U10)</f>
        <v>3.2323509252912954</v>
      </c>
      <c r="V11" s="8">
        <f>SUM(V4:V10)</f>
        <v>3.0123372172721044</v>
      </c>
      <c r="W11" s="9">
        <f>SUM(W4:W10)</f>
        <v>2.7183002056202881</v>
      </c>
    </row>
    <row r="12" spans="1:25" x14ac:dyDescent="0.25">
      <c r="A12" s="1" t="s">
        <v>10</v>
      </c>
      <c r="B12" s="4">
        <f>res_share_region_target*'LEAP Scenario'!B12</f>
        <v>28.50362790697675</v>
      </c>
      <c r="C12" s="4">
        <f>res_share_region_target*'LEAP Scenario'!C12</f>
        <v>21.721674418604653</v>
      </c>
      <c r="D12" s="4">
        <f>res_share_region_target*'LEAP Scenario'!D12</f>
        <v>15.214883720930235</v>
      </c>
      <c r="E12" s="5">
        <f>res_share_region_target*'LEAP Scenario'!E12</f>
        <v>6.6524651162790711</v>
      </c>
      <c r="G12" s="1" t="s">
        <v>10</v>
      </c>
      <c r="H12" s="4">
        <f>res_share_region_target*'LEAP Scenario'!H12</f>
        <v>27.41916279069768</v>
      </c>
      <c r="I12" s="4">
        <f>res_share_region_target*'LEAP Scenario'!I12</f>
        <v>18.419720930232561</v>
      </c>
      <c r="J12" s="4">
        <f>res_share_region_target*'LEAP Scenario'!J12</f>
        <v>9.7278139534883739</v>
      </c>
      <c r="K12" s="5">
        <f>res_share_region_target*'LEAP Scenario'!K12</f>
        <v>0</v>
      </c>
      <c r="L12" s="21"/>
    </row>
    <row r="13" spans="1:25" x14ac:dyDescent="0.25">
      <c r="A13" s="1" t="s">
        <v>11</v>
      </c>
      <c r="B13" s="4">
        <f>res_share_region_target*'LEAP Scenario'!B13</f>
        <v>5.8917209302325588</v>
      </c>
      <c r="C13" s="4">
        <f>res_share_region_target*'LEAP Scenario'!C13</f>
        <v>5.2280930232558145</v>
      </c>
      <c r="D13" s="4">
        <f>res_share_region_target*'LEAP Scenario'!D13</f>
        <v>4.6939534883720935</v>
      </c>
      <c r="E13" s="5">
        <f>res_share_region_target*'LEAP Scenario'!E13</f>
        <v>4.1921860465116287</v>
      </c>
      <c r="G13" s="1" t="s">
        <v>11</v>
      </c>
      <c r="H13" s="4">
        <f>res_share_region_target*'LEAP Scenario'!H13</f>
        <v>5.1147906976744197</v>
      </c>
      <c r="I13" s="4">
        <f>res_share_region_target*'LEAP Scenario'!I13</f>
        <v>5.7136744186046515</v>
      </c>
      <c r="J13" s="4">
        <f>res_share_region_target*'LEAP Scenario'!J13</f>
        <v>5.1309767441860474</v>
      </c>
      <c r="K13" s="5">
        <f>res_share_region_target*'LEAP Scenario'!K13</f>
        <v>4.7910697674418614</v>
      </c>
      <c r="L13" s="21"/>
      <c r="N13" s="21"/>
      <c r="O13" s="21"/>
      <c r="P13" s="21"/>
      <c r="Q13" s="21"/>
      <c r="T13" s="21"/>
      <c r="U13" s="21"/>
      <c r="V13" s="21"/>
      <c r="W13" s="21"/>
    </row>
    <row r="14" spans="1:25" x14ac:dyDescent="0.25">
      <c r="A14" s="7" t="s">
        <v>12</v>
      </c>
      <c r="B14" s="8">
        <f>SUM(B4:B13)</f>
        <v>82.338418604651167</v>
      </c>
      <c r="C14" s="8">
        <f>SUM(C4:C13)</f>
        <v>69.033488372093032</v>
      </c>
      <c r="D14" s="8">
        <f>SUM(D4:D13)</f>
        <v>57.039627906976754</v>
      </c>
      <c r="E14" s="9">
        <f>SUM(E4:E13)</f>
        <v>38.927441860465123</v>
      </c>
      <c r="G14" s="7" t="s">
        <v>12</v>
      </c>
      <c r="H14" s="8">
        <f>SUM(H4:H13)</f>
        <v>80.218046511627932</v>
      </c>
      <c r="I14" s="8">
        <f>SUM(I4:I13)</f>
        <v>65.488744186046532</v>
      </c>
      <c r="J14" s="8">
        <f>SUM(J4:J13)</f>
        <v>49.529302325581405</v>
      </c>
      <c r="K14" s="9">
        <f>SUM(K4:K13)</f>
        <v>27.904744186046514</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21" t="s">
        <v>472</v>
      </c>
      <c r="B22" s="222"/>
      <c r="C22" s="222"/>
      <c r="D22" s="222"/>
      <c r="E22" s="223"/>
      <c r="G22" s="221" t="s">
        <v>473</v>
      </c>
      <c r="H22" s="222"/>
      <c r="I22" s="222"/>
      <c r="J22" s="222"/>
      <c r="K22" s="22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47.133767441860471</v>
      </c>
      <c r="C24" s="4">
        <f>res_share_region_target*'LEAP Scenario'!C24</f>
        <v>38.360930232558147</v>
      </c>
      <c r="D24" s="4">
        <f>res_share_region_target*'LEAP Scenario'!D24</f>
        <v>32.695813953488376</v>
      </c>
      <c r="E24" s="5">
        <f>res_share_region_target*'LEAP Scenario'!E24</f>
        <v>27.451534883720935</v>
      </c>
      <c r="G24" s="1" t="s">
        <v>21</v>
      </c>
      <c r="H24" s="4">
        <f>res_share_region_target*'LEAP Scenario'!H24</f>
        <v>47.311813953488375</v>
      </c>
      <c r="I24" s="4">
        <f>res_share_region_target*'LEAP Scenario'!I24</f>
        <v>33.893581395348839</v>
      </c>
      <c r="J24" s="4">
        <f>res_share_region_target*'LEAP Scenario'!J24</f>
        <v>18.872930232558144</v>
      </c>
      <c r="K24" s="5">
        <f>res_share_region_target*'LEAP Scenario'!K24</f>
        <v>1.4729302325581397</v>
      </c>
    </row>
    <row r="25" spans="1:16" x14ac:dyDescent="0.25">
      <c r="A25" s="1" t="s">
        <v>22</v>
      </c>
      <c r="B25" s="4">
        <f>res_share_region_target*'LEAP Scenario'!B25</f>
        <v>6.3934883720930245</v>
      </c>
      <c r="C25" s="4">
        <f>res_share_region_target*'LEAP Scenario'!C25</f>
        <v>5.1633488372093028</v>
      </c>
      <c r="D25" s="4">
        <f>res_share_region_target*'LEAP Scenario'!D25</f>
        <v>4.3702325581395352</v>
      </c>
      <c r="E25" s="5">
        <f>res_share_region_target*'LEAP Scenario'!E25</f>
        <v>3.6256744186046514</v>
      </c>
      <c r="G25" s="1" t="s">
        <v>22</v>
      </c>
      <c r="H25" s="4">
        <f>res_share_region_target*'LEAP Scenario'!H25</f>
        <v>6.3125581395348842</v>
      </c>
      <c r="I25" s="4">
        <f>res_share_region_target*'LEAP Scenario'!I25</f>
        <v>4.2083720930232564</v>
      </c>
      <c r="J25" s="4">
        <f>res_share_region_target*'LEAP Scenario'!J25</f>
        <v>2.2822325581395351</v>
      </c>
      <c r="K25" s="5">
        <f>res_share_region_target*'LEAP Scenario'!K25</f>
        <v>0.25897674418604655</v>
      </c>
    </row>
    <row r="26" spans="1:16" x14ac:dyDescent="0.25">
      <c r="A26" s="1" t="s">
        <v>23</v>
      </c>
      <c r="B26" s="4">
        <f>res_share_region_target*'LEAP Scenario'!B26</f>
        <v>4.8558139534883728E-2</v>
      </c>
      <c r="C26" s="4">
        <f>res_share_region_target*'LEAP Scenario'!C26</f>
        <v>0.14567441860465119</v>
      </c>
      <c r="D26" s="4">
        <f>res_share_region_target*'LEAP Scenario'!D26</f>
        <v>0.22660465116279072</v>
      </c>
      <c r="E26" s="5">
        <f>res_share_region_target*'LEAP Scenario'!E26</f>
        <v>0.33990697674418607</v>
      </c>
      <c r="G26" s="1" t="s">
        <v>23</v>
      </c>
      <c r="H26" s="4">
        <f>res_share_region_target*'LEAP Scenario'!H26</f>
        <v>4.8558139534883728E-2</v>
      </c>
      <c r="I26" s="4">
        <f>res_share_region_target*'LEAP Scenario'!I26</f>
        <v>1.3272558139534885</v>
      </c>
      <c r="J26" s="4">
        <f>res_share_region_target*'LEAP Scenario'!J26</f>
        <v>3.8522790697674423</v>
      </c>
      <c r="K26" s="5">
        <f>res_share_region_target*'LEAP Scenario'!K26</f>
        <v>7.4617674418604665</v>
      </c>
    </row>
    <row r="27" spans="1:16" x14ac:dyDescent="0.25">
      <c r="A27" s="1" t="s">
        <v>20</v>
      </c>
      <c r="B27" s="4">
        <f>res_share_region_target*'LEAP Scenario'!B27</f>
        <v>1.7157209302325584</v>
      </c>
      <c r="C27" s="4">
        <f>res_share_region_target*'LEAP Scenario'!C27</f>
        <v>1.618604651162791</v>
      </c>
      <c r="D27" s="4">
        <f>res_share_region_target*'LEAP Scenario'!D27</f>
        <v>1.5862325581395351</v>
      </c>
      <c r="E27" s="5">
        <f>res_share_region_target*'LEAP Scenario'!E27</f>
        <v>1.5700465116279072</v>
      </c>
      <c r="G27" s="1" t="s">
        <v>20</v>
      </c>
      <c r="H27" s="4">
        <f>res_share_region_target*'LEAP Scenario'!H27</f>
        <v>1.5862325581395351</v>
      </c>
      <c r="I27" s="4">
        <f>res_share_region_target*'LEAP Scenario'!I27</f>
        <v>0.98734883720930244</v>
      </c>
      <c r="J27" s="4">
        <f>res_share_region_target*'LEAP Scenario'!J27</f>
        <v>0.53413953488372101</v>
      </c>
      <c r="K27" s="5">
        <f>res_share_region_target*'LEAP Scenario'!K27</f>
        <v>1.6186046511627909E-2</v>
      </c>
    </row>
    <row r="28" spans="1:16" x14ac:dyDescent="0.25">
      <c r="A28" s="1" t="s">
        <v>18</v>
      </c>
      <c r="B28" s="4">
        <f>res_share_region_target*'LEAP Scenario'!B28</f>
        <v>1.6186046511627909E-2</v>
      </c>
      <c r="C28" s="4">
        <f>res_share_region_target*'LEAP Scenario'!C28</f>
        <v>1.6186046511627909E-2</v>
      </c>
      <c r="D28" s="4">
        <f>res_share_region_target*'LEAP Scenario'!D28</f>
        <v>1.6186046511627909E-2</v>
      </c>
      <c r="E28" s="5">
        <f>res_share_region_target*'LEAP Scenario'!E28</f>
        <v>0</v>
      </c>
      <c r="G28" s="1" t="s">
        <v>18</v>
      </c>
      <c r="H28" s="4">
        <f>res_share_region_target*'LEAP Scenario'!H28</f>
        <v>0.12948837209302327</v>
      </c>
      <c r="I28" s="4">
        <f>res_share_region_target*'LEAP Scenario'!I28</f>
        <v>0.61506976744186059</v>
      </c>
      <c r="J28" s="4">
        <f>res_share_region_target*'LEAP Scenario'!J28</f>
        <v>0.98734883720930244</v>
      </c>
      <c r="K28" s="5">
        <f>res_share_region_target*'LEAP Scenario'!K28</f>
        <v>1.408186046511628</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55.307720930232563</v>
      </c>
      <c r="C30" s="8">
        <f>SUM(C24:C29)</f>
        <v>45.30474418604652</v>
      </c>
      <c r="D30" s="8">
        <f>SUM(D24:D29)</f>
        <v>38.895069767441861</v>
      </c>
      <c r="E30" s="9">
        <f>SUM(E24:E29)</f>
        <v>32.987162790697674</v>
      </c>
      <c r="G30" s="7" t="s">
        <v>12</v>
      </c>
      <c r="H30" s="8">
        <f>SUM(H24:H29)</f>
        <v>55.388651162790701</v>
      </c>
      <c r="I30" s="8">
        <f>SUM(I24:I29)</f>
        <v>41.031627906976745</v>
      </c>
      <c r="J30" s="8">
        <f>SUM(J24:J29)</f>
        <v>26.528930232558146</v>
      </c>
      <c r="K30" s="9">
        <f>SUM(K24:K29)</f>
        <v>10.618046511627909</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24" t="s">
        <v>184</v>
      </c>
      <c r="B48" s="17">
        <v>2015</v>
      </c>
      <c r="C48" s="17">
        <v>2025</v>
      </c>
      <c r="D48" s="17">
        <v>2035</v>
      </c>
      <c r="E48" s="17">
        <v>2050</v>
      </c>
    </row>
    <row r="49" spans="1:5" ht="89.25" customHeight="1" x14ac:dyDescent="0.25">
      <c r="A49" s="224"/>
      <c r="B49" s="20">
        <f>res_share_region_target*'LEAP Scenario'!B49</f>
        <v>0.19423255813953491</v>
      </c>
      <c r="C49" s="20">
        <f>res_share_region_target*'LEAP Scenario'!C49</f>
        <v>0.90641860465116286</v>
      </c>
      <c r="D49" s="20">
        <f>res_share_region_target*'LEAP Scenario'!D49</f>
        <v>1.424372093023256</v>
      </c>
      <c r="E49" s="20">
        <f>res_share_region_target*'LEAP Scenario'!E49</f>
        <v>2.0880000000000001</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21" t="s">
        <v>25</v>
      </c>
      <c r="C4" s="222"/>
      <c r="D4" s="222"/>
      <c r="E4" s="222"/>
      <c r="F4" s="223"/>
      <c r="H4" s="221" t="s">
        <v>30</v>
      </c>
      <c r="I4" s="222"/>
      <c r="J4" s="222"/>
      <c r="K4" s="222"/>
      <c r="L4" s="223"/>
      <c r="N4" s="221" t="s">
        <v>30</v>
      </c>
      <c r="O4" s="222"/>
      <c r="P4" s="222"/>
      <c r="Q4" s="222"/>
      <c r="R4" s="223"/>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82338.41860465116</v>
      </c>
      <c r="J21" s="63">
        <f>'2.Heat Targets'!C24</f>
        <v>69033.488372093037</v>
      </c>
      <c r="K21" s="63">
        <f>'2.Heat Targets'!D24</f>
        <v>57039.627906976755</v>
      </c>
      <c r="L21" s="64">
        <f>'2.Heat Targets'!E24</f>
        <v>38927.441860465122</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657.15348837209308</v>
      </c>
      <c r="J22" s="63">
        <f>'2.Heat Targets'!C25</f>
        <v>3522.0837209302331</v>
      </c>
      <c r="K22" s="63">
        <f>'2.Heat Targets'!D25</f>
        <v>6934.1023255813961</v>
      </c>
      <c r="L22" s="64">
        <f>'2.Heat Targets'!E25</f>
        <v>7427.776744186046</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80218.046511627937</v>
      </c>
      <c r="J23" s="63">
        <f>'2.Heat Targets'!C26</f>
        <v>65488.744186046533</v>
      </c>
      <c r="K23" s="63">
        <f>'2.Heat Targets'!D26</f>
        <v>49529.302325581404</v>
      </c>
      <c r="L23" s="64">
        <f>'2.Heat Targets'!E26</f>
        <v>27904.744186046515</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883.75813953488375</v>
      </c>
      <c r="J24" s="63">
        <f>'2.Heat Targets'!C27</f>
        <v>4040.0372093023266</v>
      </c>
      <c r="K24" s="63">
        <f>'2.Heat Targets'!D27</f>
        <v>9177.4883720930229</v>
      </c>
      <c r="L24" s="64">
        <f>'2.Heat Targets'!E27</f>
        <v>12819.348837209305</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1893.7674418604279</v>
      </c>
      <c r="J25" s="63">
        <f>'2.Heat Targets'!C28</f>
        <v>3026.7906976744039</v>
      </c>
      <c r="K25" s="63">
        <f>'2.Heat Targets'!D28</f>
        <v>5266.9395348837279</v>
      </c>
      <c r="L25" s="64">
        <f>'2.Heat Targets'!E28</f>
        <v>5631.1255813953503</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298">
        <f>'2.Heat Targets'!B29</f>
        <v>35.672499999999999</v>
      </c>
      <c r="J26" s="298">
        <f>'2.Heat Targets'!C29</f>
        <v>0</v>
      </c>
      <c r="K26" s="298">
        <f>'2.Heat Targets'!D29</f>
        <v>0</v>
      </c>
      <c r="L26" s="298">
        <f>'2.Heat Targets'!E29</f>
        <v>0</v>
      </c>
      <c r="O26" s="298">
        <f>'2.Heat Targets'!B29</f>
        <v>35.672499999999999</v>
      </c>
      <c r="P26" s="298"/>
      <c r="Q26" s="298"/>
      <c r="R26" s="298"/>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53.08760086510415</v>
      </c>
      <c r="J27" s="63">
        <f>'2.Heat Targets'!C30</f>
        <v>84.849413348501059</v>
      </c>
      <c r="K27" s="63">
        <f>'2.Heat Targets'!D30</f>
        <v>147.64705402995943</v>
      </c>
      <c r="L27" s="64">
        <f>'2.Heat Targets'!E30</f>
        <v>157.85620804247952</v>
      </c>
      <c r="O27" s="62">
        <f>O25/$O$26</f>
        <v>285.25824708648469</v>
      </c>
      <c r="P27" s="63">
        <f>P25/$O$26</f>
        <v>1235.4411900435641</v>
      </c>
      <c r="Q27" s="63">
        <f>Q25/$O$26</f>
        <v>1862.7292500136803</v>
      </c>
      <c r="R27" s="64">
        <f>R25/$O$26</f>
        <v>3967.5115308294826</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384</v>
      </c>
      <c r="J28" s="203">
        <f>'2.Heat Targets'!C31</f>
        <v>407.04</v>
      </c>
      <c r="K28" s="203">
        <f>'2.Heat Targets'!D31</f>
        <v>431.46240000000006</v>
      </c>
      <c r="L28" s="203">
        <f>'2.Heat Targets'!E31</f>
        <v>457.35014400000011</v>
      </c>
      <c r="O28" s="203">
        <f>'2.Heat Targets'!B31</f>
        <v>384</v>
      </c>
      <c r="P28" s="203">
        <f>'2.Heat Targets'!C31</f>
        <v>407.04</v>
      </c>
      <c r="Q28" s="203">
        <f>'2.Heat Targets'!D31</f>
        <v>431.46240000000006</v>
      </c>
      <c r="R28" s="203">
        <f>'2.Heat Targets'!E31</f>
        <v>457.35014400000011</v>
      </c>
      <c r="T28" t="str">
        <f>'2.Heat Targets'!G31</f>
        <v>Enter a projection of the number of future residences in the area by each year.</v>
      </c>
    </row>
    <row r="29" spans="8:20" x14ac:dyDescent="0.25">
      <c r="I29" s="86">
        <f>'2.Heat Targets'!B32</f>
        <v>0.13824896058620872</v>
      </c>
      <c r="J29" s="87">
        <f>'2.Heat Targets'!C32</f>
        <v>0.2084547301211209</v>
      </c>
      <c r="K29" s="87">
        <f>'2.Heat Targets'!D32</f>
        <v>0.34220143871159903</v>
      </c>
      <c r="L29" s="88">
        <f>'2.Heat Targets'!E32</f>
        <v>0.34515394848652214</v>
      </c>
      <c r="O29" s="104">
        <f>O27/O28</f>
        <v>0.74286001845438721</v>
      </c>
      <c r="P29" s="105">
        <f>P27/P28</f>
        <v>3.0351837412626868</v>
      </c>
      <c r="Q29" s="105">
        <f>Q27/Q28</f>
        <v>4.3172458365171105</v>
      </c>
      <c r="R29" s="106">
        <f>R27/R28</f>
        <v>8.674997882649583</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142.69</v>
      </c>
      <c r="J34" s="94">
        <f>'2.Heat Targets'!C54</f>
        <v>135.25389863975431</v>
      </c>
      <c r="K34" s="94">
        <f>'2.Heat Targets'!D54</f>
        <v>130.48281917756049</v>
      </c>
      <c r="L34" s="95">
        <f>'2.Heat Targets'!E54</f>
        <v>130.37749577261454</v>
      </c>
      <c r="O34" s="107">
        <f>'1.Current Heat'!B10</f>
        <v>142.69</v>
      </c>
      <c r="P34" s="108">
        <f>P29*($O$34-$O$26)+(1-P29)*$O$34</f>
        <v>34.417407989806804</v>
      </c>
      <c r="Q34" s="108">
        <f>Q29*($O$34-$O$26)+(1-Q29)*$O$34</f>
        <v>-11.316952103156609</v>
      </c>
      <c r="R34" s="110">
        <f>R29*($O$34-$O$26)+(1-R29)*$O$34</f>
        <v>-166.76886196881719</v>
      </c>
      <c r="T34" t="str">
        <f>'2.Heat Targets'!G54</f>
        <v>This is a projection of the average area residential heating load, in millions of Btu, computed based on values inputted above and in the "1.Current Heat" tab</v>
      </c>
    </row>
    <row r="35" spans="9:20" x14ac:dyDescent="0.25">
      <c r="I35" s="81">
        <f>'2.Heat Targets'!B55</f>
        <v>29588.09302325582</v>
      </c>
      <c r="J35" s="82">
        <f>'2.Heat Targets'!C55</f>
        <v>21478.883720930233</v>
      </c>
      <c r="K35" s="82">
        <f>'2.Heat Targets'!D55</f>
        <v>13661.023255813954</v>
      </c>
      <c r="L35" s="83">
        <f>'2.Heat Targets'!E55</f>
        <v>2055.6279069767447</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7.6586433260393862E-3</v>
      </c>
      <c r="J36" s="97">
        <f>'2.Heat Targets'!C56</f>
        <v>3.7678975131876423E-2</v>
      </c>
      <c r="K36" s="97">
        <f>'2.Heat Targets'!D56</f>
        <v>9.7156398104265407E-2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207.35926149874427</v>
      </c>
      <c r="J37" s="63">
        <f>'2.Heat Targets'!C57</f>
        <v>158.80417449657961</v>
      </c>
      <c r="K37" s="63">
        <f>'2.Heat Targets'!D57</f>
        <v>104.69595416408109</v>
      </c>
      <c r="L37" s="64">
        <f>'2.Heat Targets'!E57</f>
        <v>15.76673869056261</v>
      </c>
      <c r="O37" s="62">
        <f>O35/O34</f>
        <v>1954.8904044578787</v>
      </c>
      <c r="P37" s="62">
        <f>P35/P34</f>
        <v>6183.6351652965877</v>
      </c>
      <c r="Q37" s="62">
        <f>Q35/Q34</f>
        <v>-13213.875629399774</v>
      </c>
      <c r="R37" s="112">
        <f>R35/R34</f>
        <v>-295.35690951142857</v>
      </c>
      <c r="T37" t="str">
        <f>'2.Heat Targets'!G57</f>
        <v>This formula computes an estimate the number of residences using biofuel-blended heat energy in the 90x50 scenario based on values inputted in the "1.Current Heat" tab.</v>
      </c>
    </row>
    <row r="38" spans="9:20" x14ac:dyDescent="0.25">
      <c r="I38" s="65">
        <f>'2.Heat Targets'!B58</f>
        <v>0.53999807681964651</v>
      </c>
      <c r="J38" s="66">
        <f>'2.Heat Targets'!C58</f>
        <v>0.39014390353915979</v>
      </c>
      <c r="K38" s="66">
        <f>'2.Heat Targets'!D58</f>
        <v>0.24265371481751613</v>
      </c>
      <c r="L38" s="67">
        <f>'2.Heat Targets'!E58</f>
        <v>3.4474108945645385E-2</v>
      </c>
      <c r="O38" s="109">
        <f>O37/O28</f>
        <v>5.0908604282757262</v>
      </c>
      <c r="P38" s="109">
        <f>P37/P28</f>
        <v>15.191713751219996</v>
      </c>
      <c r="Q38" s="109">
        <f>Q37/Q28</f>
        <v>-30.625787158741463</v>
      </c>
      <c r="R38" s="113">
        <f>R37/R28</f>
        <v>-0.64580040781932824</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35204.651162790702</v>
      </c>
      <c r="J39" s="82">
        <f>'2.Heat Targets'!C59</f>
        <v>29507.162790697676</v>
      </c>
      <c r="K39" s="82">
        <f>'2.Heat Targets'!D59</f>
        <v>23388.837209302328</v>
      </c>
      <c r="L39" s="83">
        <f>'2.Heat Targets'!E59</f>
        <v>16930.604651162794</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246.72122196923894</v>
      </c>
      <c r="J40" s="63">
        <f>'2.Heat Targets'!C60</f>
        <v>218.16127363019186</v>
      </c>
      <c r="K40" s="63">
        <f>'2.Heat Targets'!D60</f>
        <v>179.24840493731895</v>
      </c>
      <c r="L40" s="64">
        <f>'2.Heat Targets'!E60</f>
        <v>129.85833598683848</v>
      </c>
      <c r="O40" s="62">
        <f>O39/O34</f>
        <v>1312.6453066618744</v>
      </c>
      <c r="P40" s="62">
        <f>P39/P34</f>
        <v>5620.5061623366619</v>
      </c>
      <c r="Q40" s="62">
        <f>Q39/Q34</f>
        <v>-17244.838003507401</v>
      </c>
      <c r="R40" s="112">
        <f>R39/R34</f>
        <v>-1196.6279571736957</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0.64250318221155978</v>
      </c>
      <c r="J41" s="66">
        <f>'2.Heat Targets'!C61</f>
        <v>0.53597011013706719</v>
      </c>
      <c r="K41" s="66">
        <f>'2.Heat Targets'!D61</f>
        <v>0.41544386008449158</v>
      </c>
      <c r="L41" s="67">
        <f>'2.Heat Targets'!E61</f>
        <v>0.28393636186728399</v>
      </c>
      <c r="O41" s="109">
        <f>O40/O28</f>
        <v>3.418347152765298</v>
      </c>
      <c r="P41" s="109">
        <f>P40/P28</f>
        <v>13.808240375237474</v>
      </c>
      <c r="Q41" s="109">
        <f>Q40/Q28</f>
        <v>-39.968344874332963</v>
      </c>
      <c r="R41" s="113">
        <f>R40/R28</f>
        <v>-2.6164372590067346</v>
      </c>
      <c r="T41" t="str">
        <f>'2.Heat Targets'!G61</f>
        <v>This formula computes the estimated share of area residences using Wood heat  in the 90x50 scenario, based on values inputted in the "1.Current Heat" tab.</v>
      </c>
    </row>
    <row r="42" spans="9:20" x14ac:dyDescent="0.25">
      <c r="I42" s="81">
        <f>'2.Heat Targets'!B62</f>
        <v>631.25581395348854</v>
      </c>
      <c r="J42" s="82">
        <f>'2.Heat Targets'!C62</f>
        <v>2525.0232558139542</v>
      </c>
      <c r="K42" s="82">
        <f>'2.Heat Targets'!D62</f>
        <v>5098.604651162791</v>
      </c>
      <c r="L42" s="83">
        <f>'2.Heat Targets'!E62</f>
        <v>6409.6744186046526</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15.167885961458632</v>
      </c>
      <c r="J43" s="63">
        <f>'2.Heat Targets'!C63</f>
        <v>64.718385506970804</v>
      </c>
      <c r="K43" s="63">
        <f>'2.Heat Targets'!D63</f>
        <v>136.76219131030732</v>
      </c>
      <c r="L43" s="64">
        <f>'2.Heat Targets'!E63</f>
        <v>173.51445636302344</v>
      </c>
      <c r="O43" s="62">
        <f>O42/((0.7*O34)/2.4)</f>
        <v>145.78569671623231</v>
      </c>
      <c r="P43" s="112">
        <f>P42/((0.75*P34)/2.6)</f>
        <v>2856.4796360438222</v>
      </c>
      <c r="Q43" s="112">
        <f>Q42/((0.8*Q34)/2.8)</f>
        <v>-20421.55423351804</v>
      </c>
      <c r="R43" s="64">
        <f>R42/((0.85*R34)/3)</f>
        <v>-2106.8403331571139</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3.9499703024631856E-2</v>
      </c>
      <c r="J44" s="66">
        <f>'2.Heat Targets'!C64</f>
        <v>0.15899760590352496</v>
      </c>
      <c r="K44" s="66">
        <f>'2.Heat Targets'!D64</f>
        <v>0.31697360259041646</v>
      </c>
      <c r="L44" s="67">
        <f>'2.Heat Targets'!E64</f>
        <v>0.3793908423105764</v>
      </c>
      <c r="O44" s="109">
        <f>O43/O28</f>
        <v>0.3796502518651883</v>
      </c>
      <c r="P44" s="109">
        <f>P43/P28</f>
        <v>7.0176877850919368</v>
      </c>
      <c r="Q44" s="109">
        <f>Q43/Q28</f>
        <v>-47.331017102574954</v>
      </c>
      <c r="R44" s="113">
        <f>R43/R28</f>
        <v>-4.6066244010127901</v>
      </c>
      <c r="T44" t="str">
        <f>'2.Heat Targets'!G64</f>
        <v>This formula computes the estimated share of area residences using Heat Pumps in the 90x50 scenario based on values inputted above and in the "1.Current Heat" tab.</v>
      </c>
    </row>
    <row r="45" spans="9:20" x14ac:dyDescent="0.25">
      <c r="I45" s="81">
        <f>'2.Heat Targets'!B65</f>
        <v>11443.534883720933</v>
      </c>
      <c r="J45" s="82">
        <f>'2.Heat Targets'!C65</f>
        <v>8950.8837209302346</v>
      </c>
      <c r="K45" s="82">
        <f>'2.Heat Targets'!D65</f>
        <v>5729.8604651162805</v>
      </c>
      <c r="L45" s="83">
        <f>'2.Heat Targets'!E65</f>
        <v>2007.0697674418607</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80.1985765205756</v>
      </c>
      <c r="J46" s="63">
        <f>'2.Heat Targets'!C66</f>
        <v>66.17837867114433</v>
      </c>
      <c r="K46" s="63">
        <f>'2.Heat Targets'!D66</f>
        <v>43.912758026166721</v>
      </c>
      <c r="L46" s="64">
        <f>'2.Heat Targets'!E66</f>
        <v>15.394296044328845</v>
      </c>
      <c r="O46" s="62">
        <f>O45/O34</f>
        <v>1661.1808868208782</v>
      </c>
      <c r="P46" s="62">
        <f>P45/P34</f>
        <v>5431.9556767120739</v>
      </c>
      <c r="Q46" s="62">
        <f>Q45/Q34</f>
        <v>-10415.893395200572</v>
      </c>
      <c r="R46" s="112">
        <f>R45/R34</f>
        <v>-179.4413304416862</v>
      </c>
      <c r="T46" t="str">
        <f>'2.Heat Targets'!G66</f>
        <v>This formula computes the estimates number of area residences using fossil heat in the 90x50 scenario based on values inputted in the "1.Current Heat" tab.</v>
      </c>
    </row>
    <row r="47" spans="9:20" x14ac:dyDescent="0.25">
      <c r="I47" s="65">
        <f>'2.Heat Targets'!B67</f>
        <v>0.20885045968899896</v>
      </c>
      <c r="J47" s="66">
        <f>'2.Heat Targets'!C67</f>
        <v>0.16258446017871542</v>
      </c>
      <c r="K47" s="66">
        <f>'2.Heat Targets'!D67</f>
        <v>0.10177655811066437</v>
      </c>
      <c r="L47" s="67">
        <f>'2.Heat Targets'!E67</f>
        <v>3.3659759915433289E-2</v>
      </c>
      <c r="O47" s="109">
        <f>O46/O28</f>
        <v>4.3259918927627039</v>
      </c>
      <c r="P47" s="109">
        <f>P46/P28</f>
        <v>13.345016894438073</v>
      </c>
      <c r="Q47" s="109">
        <f>Q46/Q28</f>
        <v>-24.140906357542558</v>
      </c>
      <c r="R47" s="113">
        <f>R46/R28</f>
        <v>-0.39235000315575752</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selection activeCell="E20" sqref="E20"/>
    </sheetView>
  </sheetViews>
  <sheetFormatPr defaultRowHeight="15" x14ac:dyDescent="0.25"/>
  <sheetData>
    <row r="2" spans="1:8" x14ac:dyDescent="0.25">
      <c r="B2" t="s">
        <v>548</v>
      </c>
      <c r="C2" t="s">
        <v>279</v>
      </c>
      <c r="D2" t="s">
        <v>549</v>
      </c>
      <c r="E2" t="s">
        <v>550</v>
      </c>
    </row>
    <row r="3" spans="1:8" x14ac:dyDescent="0.25">
      <c r="A3" t="s">
        <v>551</v>
      </c>
      <c r="B3" s="216">
        <f>SUM(B4:B5)</f>
        <v>11200</v>
      </c>
      <c r="C3" s="216">
        <f t="shared" ref="C3:D3" si="0">SUM(C4:C5)</f>
        <v>2701</v>
      </c>
      <c r="D3" s="216">
        <f t="shared" si="0"/>
        <v>12287</v>
      </c>
      <c r="E3" s="217">
        <f>SUM(B3:D3)</f>
        <v>26188</v>
      </c>
    </row>
    <row r="4" spans="1:8" x14ac:dyDescent="0.25">
      <c r="A4" t="s">
        <v>552</v>
      </c>
      <c r="B4" s="216">
        <v>8789</v>
      </c>
      <c r="C4">
        <v>2156</v>
      </c>
      <c r="D4">
        <v>9047</v>
      </c>
      <c r="E4" s="217">
        <f t="shared" ref="E4:E5" si="1">SUM(B4:D4)</f>
        <v>19992</v>
      </c>
    </row>
    <row r="5" spans="1:8" x14ac:dyDescent="0.25">
      <c r="A5" t="s">
        <v>553</v>
      </c>
      <c r="B5" s="216">
        <v>2411</v>
      </c>
      <c r="C5">
        <v>545</v>
      </c>
      <c r="D5">
        <v>3240</v>
      </c>
      <c r="E5" s="217">
        <f t="shared" si="1"/>
        <v>6196</v>
      </c>
    </row>
    <row r="6" spans="1:8" x14ac:dyDescent="0.25">
      <c r="B6" s="216"/>
      <c r="E6" s="217"/>
    </row>
    <row r="7" spans="1:8" x14ac:dyDescent="0.25">
      <c r="A7" t="s">
        <v>554</v>
      </c>
      <c r="B7" t="s">
        <v>555</v>
      </c>
      <c r="C7" t="s">
        <v>553</v>
      </c>
      <c r="D7" t="s">
        <v>12</v>
      </c>
      <c r="E7" t="s">
        <v>556</v>
      </c>
      <c r="F7" t="s">
        <v>557</v>
      </c>
      <c r="G7" t="s">
        <v>558</v>
      </c>
      <c r="H7" t="s">
        <v>559</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560</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561</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562</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tabSelected="1" zoomScale="82" zoomScaleNormal="82" workbookViewId="0">
      <selection activeCell="I10" sqref="I10:K10"/>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28" t="s">
        <v>492</v>
      </c>
      <c r="C3" s="229"/>
      <c r="D3" s="229"/>
      <c r="E3" s="229"/>
      <c r="F3" s="229"/>
      <c r="G3" s="229"/>
      <c r="H3" s="229"/>
      <c r="I3" s="229"/>
      <c r="J3" s="229"/>
      <c r="K3" s="230"/>
      <c r="O3" t="s">
        <v>213</v>
      </c>
    </row>
    <row r="4" spans="2:15" x14ac:dyDescent="0.25">
      <c r="B4" s="101"/>
      <c r="C4" s="231" t="s">
        <v>493</v>
      </c>
      <c r="D4" s="231"/>
      <c r="E4" s="231"/>
      <c r="F4" s="231"/>
      <c r="G4" s="231"/>
      <c r="H4" s="231"/>
      <c r="I4" s="231"/>
      <c r="J4" s="231"/>
      <c r="K4" s="234"/>
      <c r="O4" t="s">
        <v>246</v>
      </c>
    </row>
    <row r="5" spans="2:15" x14ac:dyDescent="0.25">
      <c r="B5" s="101"/>
      <c r="C5" s="231" t="s">
        <v>155</v>
      </c>
      <c r="D5" s="231"/>
      <c r="E5" s="231"/>
      <c r="F5" s="231"/>
      <c r="G5" s="231"/>
      <c r="H5" s="231"/>
      <c r="I5" s="231"/>
      <c r="J5" s="231"/>
      <c r="K5" s="234"/>
      <c r="O5" t="s">
        <v>285</v>
      </c>
    </row>
    <row r="6" spans="2:15" x14ac:dyDescent="0.25">
      <c r="B6" s="101"/>
      <c r="C6" s="102"/>
      <c r="D6" s="231" t="s">
        <v>153</v>
      </c>
      <c r="E6" s="231"/>
      <c r="F6" s="231"/>
      <c r="G6" s="231"/>
      <c r="H6" s="231"/>
      <c r="I6" s="231"/>
      <c r="J6" s="231"/>
      <c r="K6" s="234"/>
      <c r="O6" t="s">
        <v>290</v>
      </c>
    </row>
    <row r="7" spans="2:15" x14ac:dyDescent="0.25">
      <c r="B7" s="101"/>
      <c r="C7" s="102"/>
      <c r="D7" s="231" t="s">
        <v>154</v>
      </c>
      <c r="E7" s="231"/>
      <c r="F7" s="231"/>
      <c r="G7" s="231"/>
      <c r="H7" s="231"/>
      <c r="I7" s="231"/>
      <c r="J7" s="231"/>
      <c r="K7" s="234"/>
      <c r="O7" t="s">
        <v>323</v>
      </c>
    </row>
    <row r="8" spans="2:15" x14ac:dyDescent="0.25">
      <c r="B8" s="101"/>
      <c r="C8" s="102"/>
      <c r="D8" s="232" t="s">
        <v>156</v>
      </c>
      <c r="E8" s="232"/>
      <c r="F8" s="232"/>
      <c r="G8" s="232"/>
      <c r="H8" s="232"/>
      <c r="I8" s="232"/>
      <c r="J8" s="232"/>
      <c r="K8" s="233"/>
      <c r="O8" t="s">
        <v>324</v>
      </c>
    </row>
    <row r="9" spans="2:15" x14ac:dyDescent="0.25">
      <c r="B9" s="101"/>
      <c r="C9" s="102"/>
      <c r="D9" s="102"/>
      <c r="E9" s="102"/>
      <c r="F9" s="102"/>
      <c r="G9" s="102"/>
      <c r="H9" s="102"/>
      <c r="I9" s="102"/>
      <c r="J9" s="102"/>
      <c r="K9" s="103"/>
      <c r="O9" t="s">
        <v>397</v>
      </c>
    </row>
    <row r="10" spans="2:15" ht="15" customHeight="1" x14ac:dyDescent="0.25">
      <c r="B10" s="235" t="s">
        <v>468</v>
      </c>
      <c r="C10" s="236"/>
      <c r="D10" s="236"/>
      <c r="E10" s="236"/>
      <c r="F10" s="236"/>
      <c r="G10" s="236"/>
      <c r="H10" s="236"/>
      <c r="I10" s="237" t="s">
        <v>427</v>
      </c>
      <c r="J10" s="237"/>
      <c r="K10" s="237"/>
      <c r="O10" t="s">
        <v>431</v>
      </c>
    </row>
    <row r="11" spans="2:15" ht="15" customHeight="1" x14ac:dyDescent="0.25">
      <c r="B11" s="235" t="s">
        <v>469</v>
      </c>
      <c r="C11" s="236"/>
      <c r="D11" s="236"/>
      <c r="E11" s="236"/>
      <c r="F11" s="236"/>
      <c r="G11" s="236"/>
      <c r="H11" s="242"/>
      <c r="I11" s="238">
        <f>INDEX(town_population[Pop Share of State],MATCH(I10,town_population[Municipality]))</f>
        <v>1.666778423840679E-3</v>
      </c>
      <c r="J11" s="239"/>
      <c r="K11" s="240"/>
      <c r="O11" t="s">
        <v>433</v>
      </c>
    </row>
    <row r="12" spans="2:15" ht="15" customHeight="1" x14ac:dyDescent="0.25">
      <c r="B12" s="204" t="s">
        <v>507</v>
      </c>
      <c r="C12" s="205"/>
      <c r="D12" s="205"/>
      <c r="E12" s="205"/>
      <c r="F12" s="205"/>
      <c r="G12" s="205"/>
      <c r="H12" s="205"/>
      <c r="I12" s="238">
        <f>INDEX(town_population[Pop Share of Region],MATCH(I10,town_population[Municipality],0))</f>
        <v>1.6186046511627909E-2</v>
      </c>
      <c r="J12" s="239"/>
      <c r="K12" s="240"/>
    </row>
    <row r="13" spans="2:15" ht="15" customHeight="1" x14ac:dyDescent="0.25">
      <c r="B13" s="252" t="s">
        <v>499</v>
      </c>
      <c r="C13" s="253"/>
      <c r="D13" s="253"/>
      <c r="E13" s="253"/>
      <c r="F13" s="253"/>
      <c r="G13" s="253"/>
      <c r="H13" s="253"/>
      <c r="I13" s="253"/>
      <c r="J13" s="253"/>
      <c r="K13" s="254"/>
    </row>
    <row r="14" spans="2:15" ht="15" customHeight="1" x14ac:dyDescent="0.25">
      <c r="B14" s="206" t="s">
        <v>513</v>
      </c>
      <c r="C14" s="207"/>
      <c r="D14" s="207"/>
      <c r="E14" s="207"/>
      <c r="F14" s="207"/>
      <c r="G14" s="207"/>
      <c r="H14" s="207"/>
      <c r="I14" s="249">
        <f>INDEX(town_establishments[share of state establishments],MATCH(I10,town_establishments[Municipality],0))</f>
        <v>1.575464762104821E-4</v>
      </c>
      <c r="J14" s="250"/>
      <c r="K14" s="251"/>
    </row>
    <row r="15" spans="2:15" ht="15" customHeight="1" x14ac:dyDescent="0.25">
      <c r="B15" s="206" t="s">
        <v>514</v>
      </c>
      <c r="C15" s="207"/>
      <c r="D15" s="207"/>
      <c r="E15" s="207"/>
      <c r="F15" s="207"/>
      <c r="G15" s="207"/>
      <c r="H15" s="207"/>
      <c r="I15" s="238">
        <f>INDEX(town_establishments[share of regional establishments],MATCH(I10,town_establishments[Municipality],0))</f>
        <v>2.0562028786840301E-3</v>
      </c>
      <c r="J15" s="239"/>
      <c r="K15" s="240"/>
    </row>
    <row r="16" spans="2:15" ht="15" customHeight="1" x14ac:dyDescent="0.25">
      <c r="B16" s="252" t="s">
        <v>499</v>
      </c>
      <c r="C16" s="253"/>
      <c r="D16" s="253"/>
      <c r="E16" s="253"/>
      <c r="F16" s="253"/>
      <c r="G16" s="253"/>
      <c r="H16" s="253"/>
      <c r="I16" s="253"/>
      <c r="J16" s="253"/>
      <c r="K16" s="254"/>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31" t="s">
        <v>157</v>
      </c>
      <c r="D20" s="231"/>
      <c r="E20" s="231"/>
      <c r="F20" s="231"/>
      <c r="G20" s="231"/>
      <c r="H20" s="231"/>
      <c r="I20" s="201" t="s">
        <v>497</v>
      </c>
      <c r="J20" s="102"/>
      <c r="K20" s="103"/>
    </row>
    <row r="21" spans="1:15" ht="15" customHeight="1" x14ac:dyDescent="0.25">
      <c r="B21" s="101"/>
      <c r="C21" s="231" t="s">
        <v>495</v>
      </c>
      <c r="D21" s="231"/>
      <c r="E21" s="231"/>
      <c r="F21" s="231"/>
      <c r="G21" s="231"/>
      <c r="H21" s="241"/>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43" t="s">
        <v>501</v>
      </c>
      <c r="C23" s="244"/>
      <c r="D23" s="244"/>
      <c r="E23" s="244"/>
      <c r="F23" s="244"/>
      <c r="G23" s="244"/>
      <c r="H23" s="244"/>
      <c r="I23" s="244"/>
      <c r="J23" s="244"/>
      <c r="K23" s="245"/>
      <c r="O23" s="100"/>
    </row>
    <row r="24" spans="1:15" s="177" customFormat="1" x14ac:dyDescent="0.25">
      <c r="A24" s="199"/>
      <c r="B24" s="243"/>
      <c r="C24" s="244"/>
      <c r="D24" s="244"/>
      <c r="E24" s="244"/>
      <c r="F24" s="244"/>
      <c r="G24" s="244"/>
      <c r="H24" s="244"/>
      <c r="I24" s="244"/>
      <c r="J24" s="244"/>
      <c r="K24" s="245"/>
      <c r="O24" s="100"/>
    </row>
    <row r="25" spans="1:15" x14ac:dyDescent="0.25">
      <c r="B25" s="246"/>
      <c r="C25" s="247"/>
      <c r="D25" s="247"/>
      <c r="E25" s="247"/>
      <c r="F25" s="247"/>
      <c r="G25" s="247"/>
      <c r="H25" s="247"/>
      <c r="I25" s="247"/>
      <c r="J25" s="247"/>
      <c r="K25" s="248"/>
    </row>
    <row r="27" spans="1:15" x14ac:dyDescent="0.25">
      <c r="I27"/>
    </row>
  </sheetData>
  <mergeCells count="18">
    <mergeCell ref="C21:H21"/>
    <mergeCell ref="B11:H11"/>
    <mergeCell ref="B23:K25"/>
    <mergeCell ref="C5:K5"/>
    <mergeCell ref="C4:K4"/>
    <mergeCell ref="I12:K12"/>
    <mergeCell ref="I14:K14"/>
    <mergeCell ref="I15:K15"/>
    <mergeCell ref="B16:K16"/>
    <mergeCell ref="B13:K13"/>
    <mergeCell ref="B3:K3"/>
    <mergeCell ref="C20:H20"/>
    <mergeCell ref="D8:K8"/>
    <mergeCell ref="D7:K7"/>
    <mergeCell ref="D6:K6"/>
    <mergeCell ref="B10:H10"/>
    <mergeCell ref="I10:K10"/>
    <mergeCell ref="I11:K11"/>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zoomScale="70" zoomScaleNormal="70" workbookViewId="0">
      <selection activeCell="B32" sqref="B32"/>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53225.528818636361</v>
      </c>
      <c r="C5" s="259" t="s">
        <v>481</v>
      </c>
      <c r="D5" s="256"/>
      <c r="E5" s="256"/>
      <c r="F5" s="256"/>
      <c r="G5" s="256"/>
      <c r="H5" s="256"/>
      <c r="I5" s="256"/>
      <c r="J5" s="256"/>
      <c r="K5" s="256"/>
      <c r="L5" s="256"/>
      <c r="M5" s="256"/>
      <c r="N5" s="256"/>
    </row>
    <row r="7" spans="1:16" x14ac:dyDescent="0.25">
      <c r="C7" s="53" t="s">
        <v>70</v>
      </c>
    </row>
    <row r="8" spans="1:16" x14ac:dyDescent="0.25">
      <c r="C8" s="25"/>
    </row>
    <row r="9" spans="1:16" ht="36" customHeight="1" x14ac:dyDescent="0.25">
      <c r="A9" s="32">
        <v>1</v>
      </c>
      <c r="B9" s="116">
        <v>709</v>
      </c>
      <c r="C9" s="260" t="s">
        <v>483</v>
      </c>
      <c r="D9" s="256"/>
      <c r="E9" s="256"/>
      <c r="F9" s="256"/>
      <c r="G9" s="256"/>
      <c r="H9" s="256"/>
      <c r="I9" s="256"/>
      <c r="J9" s="256"/>
      <c r="K9" s="256"/>
      <c r="L9" s="256"/>
      <c r="M9" s="256"/>
      <c r="N9" s="256"/>
    </row>
    <row r="10" spans="1:16" ht="36" customHeight="1" x14ac:dyDescent="0.25">
      <c r="B10" s="21"/>
      <c r="C10" s="31"/>
      <c r="D10" s="125" t="s">
        <v>60</v>
      </c>
      <c r="E10" s="261" t="s">
        <v>64</v>
      </c>
      <c r="F10" s="261"/>
      <c r="G10" s="257" t="s">
        <v>61</v>
      </c>
      <c r="H10" s="257"/>
      <c r="I10" s="257"/>
      <c r="J10" s="257"/>
      <c r="K10" s="257"/>
      <c r="L10" s="257"/>
      <c r="M10" s="257"/>
      <c r="N10" s="257"/>
    </row>
    <row r="11" spans="1:16" ht="36" customHeight="1" x14ac:dyDescent="0.25">
      <c r="B11" s="21"/>
      <c r="C11" s="31"/>
      <c r="D11" s="125"/>
      <c r="E11" s="257" t="s">
        <v>65</v>
      </c>
      <c r="F11" s="257"/>
      <c r="G11" s="257" t="s">
        <v>170</v>
      </c>
      <c r="H11" s="257"/>
      <c r="I11" s="257"/>
      <c r="J11" s="257"/>
      <c r="K11" s="257"/>
      <c r="L11" s="257"/>
      <c r="M11" s="257"/>
      <c r="N11" s="257"/>
    </row>
    <row r="12" spans="1:16" ht="36" customHeight="1" x14ac:dyDescent="0.25">
      <c r="B12" s="21"/>
      <c r="C12" s="31"/>
      <c r="D12" s="125" t="s">
        <v>62</v>
      </c>
      <c r="E12" s="257" t="s">
        <v>63</v>
      </c>
      <c r="F12" s="257"/>
      <c r="G12" s="257"/>
      <c r="H12" s="257"/>
      <c r="I12" s="257"/>
      <c r="J12" s="257"/>
      <c r="K12" s="257"/>
      <c r="L12" s="257"/>
      <c r="M12" s="257"/>
      <c r="N12" s="257"/>
    </row>
    <row r="13" spans="1:16" ht="36" customHeight="1" x14ac:dyDescent="0.25">
      <c r="A13" s="32">
        <v>2</v>
      </c>
      <c r="B13" s="116">
        <v>14000</v>
      </c>
      <c r="C13" s="255" t="s">
        <v>484</v>
      </c>
      <c r="D13" s="256"/>
      <c r="E13" s="256"/>
      <c r="F13" s="256"/>
      <c r="G13" s="256"/>
      <c r="H13" s="256"/>
      <c r="I13" s="256"/>
      <c r="J13" s="256"/>
      <c r="K13" s="256"/>
      <c r="L13" s="256"/>
      <c r="M13" s="256"/>
      <c r="N13" s="256"/>
      <c r="O13" s="34">
        <f>B13/12500</f>
        <v>1.1200000000000001</v>
      </c>
      <c r="P13" s="184" t="s">
        <v>544</v>
      </c>
    </row>
    <row r="14" spans="1:16" ht="36" customHeight="1" x14ac:dyDescent="0.25">
      <c r="A14" s="32">
        <v>3</v>
      </c>
      <c r="B14" s="116">
        <v>22</v>
      </c>
      <c r="C14" s="255" t="s">
        <v>485</v>
      </c>
      <c r="D14" s="256"/>
      <c r="E14" s="256"/>
      <c r="F14" s="256"/>
      <c r="G14" s="256"/>
      <c r="H14" s="256"/>
      <c r="I14" s="256"/>
      <c r="J14" s="256"/>
      <c r="K14" s="256"/>
      <c r="L14" s="256"/>
      <c r="M14" s="256"/>
      <c r="N14" s="256"/>
    </row>
    <row r="15" spans="1:16" s="118" customFormat="1" ht="36" customHeight="1" x14ac:dyDescent="0.25">
      <c r="A15" s="117"/>
      <c r="D15" s="119">
        <v>0.4</v>
      </c>
      <c r="E15" s="256" t="s">
        <v>172</v>
      </c>
      <c r="F15" s="256"/>
      <c r="G15" s="256"/>
      <c r="H15" s="256"/>
      <c r="I15" s="256"/>
      <c r="J15" s="256"/>
      <c r="K15" s="256"/>
      <c r="L15" s="256"/>
      <c r="M15" s="256"/>
      <c r="N15" s="256"/>
    </row>
    <row r="16" spans="1:16" s="118" customFormat="1" ht="36" customHeight="1" x14ac:dyDescent="0.25">
      <c r="A16" s="117"/>
      <c r="D16" s="119">
        <f>150000/583770</f>
        <v>0.25695051133151753</v>
      </c>
      <c r="E16" s="256" t="s">
        <v>173</v>
      </c>
      <c r="F16" s="256"/>
      <c r="G16" s="256"/>
      <c r="H16" s="256"/>
      <c r="I16" s="256"/>
      <c r="J16" s="256"/>
      <c r="K16" s="256"/>
      <c r="L16" s="256"/>
      <c r="M16" s="256"/>
      <c r="N16" s="256"/>
    </row>
    <row r="17" spans="1:14" s="118" customFormat="1" ht="36" customHeight="1" x14ac:dyDescent="0.25">
      <c r="A17" s="117"/>
      <c r="D17" s="119">
        <v>0.86</v>
      </c>
      <c r="E17" s="256" t="s">
        <v>171</v>
      </c>
      <c r="F17" s="256"/>
      <c r="G17" s="256"/>
      <c r="H17" s="256"/>
      <c r="I17" s="256"/>
      <c r="J17" s="256"/>
      <c r="K17" s="256"/>
      <c r="L17" s="256"/>
      <c r="M17" s="256"/>
      <c r="N17" s="256"/>
    </row>
    <row r="18" spans="1:14" ht="36" customHeight="1" x14ac:dyDescent="0.25">
      <c r="B18" s="120">
        <f>B9*B13/B14</f>
        <v>451181.81818181818</v>
      </c>
      <c r="C18" s="257" t="s">
        <v>43</v>
      </c>
      <c r="D18" s="257"/>
      <c r="E18" s="257"/>
      <c r="F18" s="257"/>
      <c r="G18" s="257"/>
      <c r="H18" s="257"/>
      <c r="I18" s="257"/>
      <c r="J18" s="257"/>
      <c r="K18" s="257"/>
      <c r="L18" s="257"/>
      <c r="M18" s="257"/>
      <c r="N18" s="257"/>
    </row>
    <row r="19" spans="1:14" ht="36" customHeight="1" x14ac:dyDescent="0.25">
      <c r="A19" s="32">
        <v>4</v>
      </c>
      <c r="B19" s="121">
        <v>0.09</v>
      </c>
      <c r="C19" s="255" t="s">
        <v>486</v>
      </c>
      <c r="D19" s="256"/>
      <c r="E19" s="256"/>
      <c r="F19" s="256"/>
      <c r="G19" s="256"/>
      <c r="H19" s="256"/>
      <c r="I19" s="256"/>
      <c r="J19" s="256"/>
      <c r="K19" s="256"/>
      <c r="L19" s="256"/>
      <c r="M19" s="256"/>
      <c r="N19" s="256"/>
    </row>
    <row r="20" spans="1:14" ht="36" customHeight="1" x14ac:dyDescent="0.25">
      <c r="B20" s="120">
        <f>(1-B19)*B18</f>
        <v>410575.45454545453</v>
      </c>
      <c r="C20" s="256" t="s">
        <v>73</v>
      </c>
      <c r="D20" s="256"/>
      <c r="E20" s="256"/>
      <c r="F20" s="256"/>
      <c r="G20" s="256"/>
      <c r="H20" s="256"/>
      <c r="I20" s="256"/>
      <c r="J20" s="256"/>
      <c r="K20" s="256"/>
      <c r="L20" s="256"/>
      <c r="M20" s="256"/>
      <c r="N20" s="256"/>
    </row>
    <row r="21" spans="1:14" ht="36" customHeight="1" x14ac:dyDescent="0.25">
      <c r="B21" s="120">
        <f>fossilBtu</f>
        <v>121258.5</v>
      </c>
      <c r="C21" s="256" t="s">
        <v>174</v>
      </c>
      <c r="D21" s="256"/>
      <c r="E21" s="256"/>
      <c r="F21" s="256"/>
      <c r="G21" s="256"/>
      <c r="H21" s="256"/>
      <c r="I21" s="256"/>
      <c r="J21" s="256"/>
      <c r="K21" s="256"/>
      <c r="L21" s="256"/>
      <c r="M21" s="256"/>
      <c r="N21" s="256"/>
    </row>
    <row r="22" spans="1:14" ht="36" customHeight="1" x14ac:dyDescent="0.25">
      <c r="B22" s="120">
        <f>B20*B21/1000000</f>
        <v>49785.763755</v>
      </c>
      <c r="C22" s="256" t="s">
        <v>66</v>
      </c>
      <c r="D22" s="256"/>
      <c r="E22" s="256"/>
      <c r="F22" s="256"/>
      <c r="G22" s="256"/>
      <c r="H22" s="256"/>
      <c r="I22" s="256"/>
      <c r="J22" s="256"/>
      <c r="K22" s="256"/>
      <c r="L22" s="256"/>
      <c r="M22" s="256"/>
      <c r="N22" s="256"/>
    </row>
    <row r="23" spans="1:14" ht="36" customHeight="1" x14ac:dyDescent="0.25">
      <c r="B23" s="120">
        <f>B18-B20</f>
        <v>40606.363636363647</v>
      </c>
      <c r="C23" s="256" t="s">
        <v>67</v>
      </c>
      <c r="D23" s="256"/>
      <c r="E23" s="256"/>
      <c r="F23" s="256"/>
      <c r="G23" s="256"/>
      <c r="H23" s="256"/>
      <c r="I23" s="256"/>
      <c r="J23" s="256"/>
      <c r="K23" s="256"/>
      <c r="L23" s="256"/>
      <c r="M23" s="256"/>
      <c r="N23" s="256"/>
    </row>
    <row r="24" spans="1:14" ht="36" customHeight="1" x14ac:dyDescent="0.25">
      <c r="B24" s="120">
        <v>84710</v>
      </c>
      <c r="C24" s="256" t="s">
        <v>68</v>
      </c>
      <c r="D24" s="256"/>
      <c r="E24" s="256"/>
      <c r="F24" s="256"/>
      <c r="G24" s="256"/>
      <c r="H24" s="256"/>
      <c r="I24" s="256"/>
      <c r="J24" s="256"/>
      <c r="K24" s="256"/>
      <c r="L24" s="256"/>
      <c r="M24" s="256"/>
      <c r="N24" s="256"/>
    </row>
    <row r="25" spans="1:14" ht="36" customHeight="1" x14ac:dyDescent="0.25">
      <c r="B25" s="120">
        <f>B23*B24/1000000</f>
        <v>3439.7650636363646</v>
      </c>
      <c r="C25" s="256" t="s">
        <v>69</v>
      </c>
      <c r="D25" s="256"/>
      <c r="E25" s="256"/>
      <c r="F25" s="256"/>
      <c r="G25" s="256"/>
      <c r="H25" s="256"/>
      <c r="I25" s="256"/>
      <c r="J25" s="256"/>
      <c r="K25" s="256"/>
      <c r="L25" s="256"/>
      <c r="M25" s="256"/>
      <c r="N25" s="256"/>
    </row>
    <row r="26" spans="1:14" ht="36" customHeight="1" x14ac:dyDescent="0.25">
      <c r="B26" s="122">
        <f>B22+B25</f>
        <v>53225.528818636361</v>
      </c>
      <c r="C26" s="259" t="s">
        <v>71</v>
      </c>
      <c r="D26" s="256"/>
      <c r="E26" s="256"/>
      <c r="F26" s="256"/>
      <c r="G26" s="256"/>
      <c r="H26" s="256"/>
      <c r="I26" s="256"/>
      <c r="J26" s="256"/>
      <c r="K26" s="256"/>
      <c r="L26" s="256"/>
      <c r="M26" s="256"/>
      <c r="N26" s="256"/>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0</v>
      </c>
      <c r="C32" s="255" t="s">
        <v>502</v>
      </c>
      <c r="D32" s="256"/>
      <c r="E32" s="256"/>
      <c r="F32" s="256"/>
      <c r="G32" s="256"/>
      <c r="H32" s="256"/>
      <c r="I32" s="256"/>
      <c r="J32" s="256"/>
      <c r="K32" s="256"/>
      <c r="L32" s="256"/>
      <c r="M32" s="256"/>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57" t="s">
        <v>78</v>
      </c>
      <c r="D34" s="257"/>
      <c r="E34" s="257"/>
      <c r="F34" s="257"/>
      <c r="G34" s="257"/>
      <c r="H34" s="257"/>
      <c r="I34" s="257"/>
      <c r="J34" s="257"/>
      <c r="K34" s="257"/>
      <c r="L34" s="257"/>
      <c r="M34" s="257"/>
      <c r="N34" s="257"/>
    </row>
    <row r="35" spans="2:14" ht="36" customHeight="1" x14ac:dyDescent="0.25">
      <c r="B35" s="120">
        <v>3</v>
      </c>
      <c r="C35" s="257" t="s">
        <v>74</v>
      </c>
      <c r="D35" s="257"/>
      <c r="E35" s="257"/>
      <c r="F35" s="257"/>
      <c r="G35" s="257"/>
      <c r="H35" s="257"/>
      <c r="I35" s="257"/>
      <c r="J35" s="257"/>
      <c r="K35" s="257"/>
      <c r="L35" s="257"/>
      <c r="M35" s="257"/>
      <c r="N35" s="257"/>
    </row>
    <row r="36" spans="2:14" ht="36" customHeight="1" x14ac:dyDescent="0.25">
      <c r="B36" s="120">
        <f>B32*B34/B35</f>
        <v>0</v>
      </c>
      <c r="C36" s="257" t="s">
        <v>72</v>
      </c>
      <c r="D36" s="257"/>
      <c r="E36" s="257"/>
      <c r="F36" s="257"/>
      <c r="G36" s="257"/>
      <c r="H36" s="257"/>
      <c r="I36" s="257"/>
      <c r="J36" s="257"/>
      <c r="K36" s="257"/>
      <c r="L36" s="257"/>
      <c r="M36" s="257"/>
      <c r="N36" s="257"/>
    </row>
    <row r="37" spans="2:14" ht="36" customHeight="1" x14ac:dyDescent="0.25">
      <c r="B37" s="120">
        <v>3412</v>
      </c>
      <c r="C37" s="257" t="s">
        <v>176</v>
      </c>
      <c r="D37" s="257"/>
      <c r="E37" s="257"/>
      <c r="F37" s="257"/>
      <c r="G37" s="257"/>
      <c r="H37" s="257"/>
      <c r="I37" s="257"/>
      <c r="J37" s="257"/>
      <c r="K37" s="257"/>
      <c r="L37" s="257"/>
      <c r="M37" s="257"/>
      <c r="N37" s="257"/>
    </row>
    <row r="38" spans="2:14" ht="36" customHeight="1" x14ac:dyDescent="0.25">
      <c r="B38" s="122">
        <f>B36*B37/1000000</f>
        <v>0</v>
      </c>
      <c r="C38" s="258" t="s">
        <v>75</v>
      </c>
      <c r="D38" s="257"/>
      <c r="E38" s="257"/>
      <c r="F38" s="257"/>
      <c r="G38" s="257"/>
      <c r="H38" s="257"/>
      <c r="I38" s="257"/>
      <c r="J38" s="257"/>
      <c r="K38" s="257"/>
      <c r="L38" s="257"/>
      <c r="M38" s="257"/>
      <c r="N38" s="257"/>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5:N5"/>
    <mergeCell ref="C18:N18"/>
    <mergeCell ref="C9:N9"/>
    <mergeCell ref="E10:F10"/>
    <mergeCell ref="E11:F11"/>
    <mergeCell ref="G11:N11"/>
    <mergeCell ref="G10:N10"/>
    <mergeCell ref="E12:N12"/>
    <mergeCell ref="C13:N13"/>
    <mergeCell ref="C14:N14"/>
    <mergeCell ref="E16:N16"/>
    <mergeCell ref="E17:N17"/>
    <mergeCell ref="E15:N15"/>
    <mergeCell ref="C19:N19"/>
    <mergeCell ref="C26:N26"/>
    <mergeCell ref="C25:N25"/>
    <mergeCell ref="C24:N24"/>
    <mergeCell ref="C23:N23"/>
    <mergeCell ref="C22:N22"/>
    <mergeCell ref="C21:N21"/>
    <mergeCell ref="C20:N20"/>
    <mergeCell ref="C32:M32"/>
    <mergeCell ref="C34:N34"/>
    <mergeCell ref="C38:N38"/>
    <mergeCell ref="C37:N37"/>
    <mergeCell ref="C36:N36"/>
    <mergeCell ref="C35:N3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zoomScale="70" zoomScaleNormal="70" workbookViewId="0">
      <selection activeCell="B18" sqref="B18"/>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59737.668967690879</v>
      </c>
      <c r="C4" s="259" t="s">
        <v>91</v>
      </c>
      <c r="D4" s="256"/>
      <c r="E4" s="256"/>
      <c r="F4" s="256"/>
      <c r="G4" s="256"/>
      <c r="H4" s="256"/>
      <c r="I4" s="256"/>
      <c r="J4" s="256"/>
      <c r="K4" s="256"/>
      <c r="L4" s="256"/>
      <c r="M4" s="256"/>
      <c r="N4" s="256"/>
    </row>
    <row r="5" spans="1:15" x14ac:dyDescent="0.25">
      <c r="A5" s="56"/>
      <c r="B5" s="54"/>
    </row>
    <row r="6" spans="1:15" ht="18.75" x14ac:dyDescent="0.3">
      <c r="B6" s="54"/>
      <c r="C6" s="51" t="s">
        <v>80</v>
      </c>
    </row>
    <row r="7" spans="1:15" x14ac:dyDescent="0.25">
      <c r="B7" s="54"/>
      <c r="C7" s="25"/>
    </row>
    <row r="8" spans="1:15" ht="42.75" customHeight="1" x14ac:dyDescent="0.25">
      <c r="A8" s="54">
        <v>1</v>
      </c>
      <c r="B8" s="36">
        <v>384</v>
      </c>
      <c r="C8" s="267" t="s">
        <v>79</v>
      </c>
      <c r="D8" s="257"/>
      <c r="E8" s="257"/>
      <c r="F8" s="257"/>
      <c r="G8" s="257"/>
      <c r="H8" s="257"/>
      <c r="I8" s="257"/>
      <c r="J8" s="257"/>
      <c r="K8" s="257"/>
      <c r="L8" s="257"/>
      <c r="M8" s="257"/>
      <c r="N8" s="257"/>
    </row>
    <row r="9" spans="1:15" ht="42.75" customHeight="1" x14ac:dyDescent="0.25">
      <c r="B9" s="56"/>
      <c r="C9" s="26"/>
      <c r="D9" s="57" t="s">
        <v>92</v>
      </c>
      <c r="E9" s="266" t="s">
        <v>64</v>
      </c>
      <c r="F9" s="266"/>
      <c r="G9" s="257" t="s">
        <v>81</v>
      </c>
      <c r="H9" s="257"/>
      <c r="I9" s="257"/>
      <c r="J9" s="257"/>
      <c r="K9" s="257"/>
      <c r="L9" s="257"/>
      <c r="M9" s="257"/>
      <c r="N9" s="257"/>
    </row>
    <row r="10" spans="1:15" ht="52.5" customHeight="1" x14ac:dyDescent="0.25">
      <c r="A10" s="54">
        <v>2</v>
      </c>
      <c r="B10" s="36">
        <v>142.69</v>
      </c>
      <c r="C10" s="263" t="s">
        <v>543</v>
      </c>
      <c r="D10" s="262"/>
      <c r="E10" s="262"/>
      <c r="F10" s="262"/>
      <c r="G10" s="262"/>
      <c r="H10" s="262"/>
      <c r="I10" s="262"/>
      <c r="J10" s="262"/>
      <c r="K10" s="262"/>
      <c r="L10" s="262"/>
      <c r="M10" s="262"/>
      <c r="N10" s="262"/>
      <c r="O10" s="212">
        <f>SUM('2.Heat Targets'!E58,'2.Heat Targets'!E61,'2.Heat Targets'!E64,'2.Heat Targets'!E67)</f>
        <v>0.73146107303893904</v>
      </c>
    </row>
    <row r="11" spans="1:15" ht="42.75" customHeight="1" x14ac:dyDescent="0.25">
      <c r="B11" s="54"/>
      <c r="C11" s="59"/>
      <c r="D11" s="33" t="s">
        <v>58</v>
      </c>
      <c r="E11" s="262" t="s">
        <v>86</v>
      </c>
      <c r="F11" s="262"/>
      <c r="G11" s="262"/>
      <c r="H11" s="262"/>
      <c r="I11" s="262"/>
      <c r="J11" s="262"/>
      <c r="K11" s="262"/>
      <c r="L11" s="262"/>
      <c r="M11" s="262"/>
      <c r="N11" s="262"/>
    </row>
    <row r="12" spans="1:15" ht="42.75" customHeight="1" x14ac:dyDescent="0.25">
      <c r="B12" s="56"/>
      <c r="C12" s="60"/>
      <c r="D12" s="34">
        <v>0.26</v>
      </c>
      <c r="E12" s="262" t="s">
        <v>83</v>
      </c>
      <c r="F12" s="262"/>
      <c r="G12" s="262"/>
      <c r="H12" s="262"/>
      <c r="I12" s="262"/>
      <c r="J12" s="262"/>
      <c r="K12" s="262"/>
      <c r="L12" s="262"/>
      <c r="M12" s="262"/>
      <c r="N12" s="262"/>
    </row>
    <row r="13" spans="1:15" ht="42.75" customHeight="1" x14ac:dyDescent="0.25">
      <c r="B13" s="56"/>
      <c r="C13" s="60"/>
      <c r="D13" s="34">
        <v>0.5</v>
      </c>
      <c r="E13" s="262" t="s">
        <v>84</v>
      </c>
      <c r="F13" s="262"/>
      <c r="G13" s="262"/>
      <c r="H13" s="262"/>
      <c r="I13" s="262"/>
      <c r="J13" s="262"/>
      <c r="K13" s="262"/>
      <c r="L13" s="262"/>
      <c r="M13" s="262"/>
      <c r="N13" s="262"/>
    </row>
    <row r="14" spans="1:15" ht="42.75" customHeight="1" x14ac:dyDescent="0.25">
      <c r="B14" s="56"/>
      <c r="C14" s="60"/>
      <c r="D14" s="34">
        <v>0.2</v>
      </c>
      <c r="E14" s="262" t="s">
        <v>85</v>
      </c>
      <c r="F14" s="262"/>
      <c r="G14" s="262"/>
      <c r="H14" s="262"/>
      <c r="I14" s="262"/>
      <c r="J14" s="262"/>
      <c r="K14" s="262"/>
      <c r="L14" s="262"/>
      <c r="M14" s="262"/>
      <c r="N14" s="262"/>
    </row>
    <row r="15" spans="1:15" ht="42.75" customHeight="1" x14ac:dyDescent="0.25">
      <c r="B15" s="56"/>
      <c r="C15" s="60"/>
      <c r="D15" s="35">
        <v>2.2999999999999998</v>
      </c>
      <c r="E15" s="262" t="s">
        <v>87</v>
      </c>
      <c r="F15" s="262"/>
      <c r="G15" s="262"/>
      <c r="H15" s="262"/>
      <c r="I15" s="262"/>
      <c r="J15" s="262"/>
      <c r="K15" s="262"/>
      <c r="L15" s="262"/>
      <c r="M15" s="262"/>
      <c r="N15" s="262"/>
    </row>
    <row r="16" spans="1:15" ht="42.75" customHeight="1" x14ac:dyDescent="0.25">
      <c r="B16" s="56"/>
      <c r="C16" s="60"/>
      <c r="D16" s="34">
        <f>(20000*1.25)/257000</f>
        <v>9.727626459143969E-2</v>
      </c>
      <c r="E16" s="262" t="s">
        <v>93</v>
      </c>
      <c r="F16" s="262"/>
      <c r="G16" s="262"/>
      <c r="H16" s="262"/>
      <c r="I16" s="262"/>
      <c r="J16" s="262"/>
      <c r="K16" s="262"/>
      <c r="L16" s="262"/>
      <c r="M16" s="262"/>
      <c r="N16" s="262"/>
    </row>
    <row r="17" spans="1:17" x14ac:dyDescent="0.25">
      <c r="B17" s="56"/>
      <c r="C17" s="27"/>
      <c r="F17" s="26"/>
      <c r="G17" s="27"/>
      <c r="H17" s="27"/>
      <c r="I17" s="27"/>
      <c r="J17" s="27"/>
      <c r="K17" s="27"/>
      <c r="L17" s="27"/>
    </row>
    <row r="18" spans="1:17" ht="42.75" customHeight="1" x14ac:dyDescent="0.25">
      <c r="B18" s="55">
        <f>B8*B10</f>
        <v>54792.959999999999</v>
      </c>
      <c r="C18" s="258" t="s">
        <v>90</v>
      </c>
      <c r="D18" s="257"/>
      <c r="E18" s="257"/>
      <c r="F18" s="257"/>
      <c r="G18" s="257"/>
      <c r="H18" s="257"/>
      <c r="I18" s="257"/>
      <c r="J18" s="257"/>
      <c r="K18" s="257"/>
      <c r="L18" s="257"/>
      <c r="M18" s="257"/>
      <c r="N18" s="257"/>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3</v>
      </c>
      <c r="C22" s="260" t="s">
        <v>540</v>
      </c>
      <c r="D22" s="256"/>
      <c r="E22" s="256"/>
      <c r="F22" s="256"/>
      <c r="G22" s="256"/>
      <c r="H22" s="256"/>
      <c r="I22" s="256"/>
      <c r="J22" s="256"/>
      <c r="K22" s="256"/>
      <c r="L22" s="256"/>
      <c r="M22" s="256"/>
      <c r="N22" s="256"/>
    </row>
    <row r="23" spans="1:17" s="58" customFormat="1" ht="32.25" customHeight="1" x14ac:dyDescent="0.25">
      <c r="A23" s="54"/>
      <c r="B23" s="54"/>
      <c r="D23" s="58" t="s">
        <v>60</v>
      </c>
      <c r="E23" s="28" t="s">
        <v>88</v>
      </c>
      <c r="G23" s="58" t="s">
        <v>89</v>
      </c>
    </row>
    <row r="24" spans="1:17" ht="78" customHeight="1" x14ac:dyDescent="0.25">
      <c r="A24" s="54">
        <v>2</v>
      </c>
      <c r="B24" s="36">
        <f ca="1">L41</f>
        <v>1648.2363225636268</v>
      </c>
      <c r="C24" s="264" t="s">
        <v>541</v>
      </c>
      <c r="D24" s="265"/>
      <c r="E24" s="265"/>
      <c r="F24" s="265"/>
      <c r="G24" s="265"/>
      <c r="H24" s="265"/>
      <c r="I24" s="265"/>
      <c r="J24" s="265"/>
      <c r="K24" s="265"/>
      <c r="L24" s="265"/>
      <c r="M24" s="265"/>
      <c r="N24" s="265"/>
      <c r="O24" s="212">
        <f ca="1">SUM('2.Heat Targets'!E76,'2.Heat Targets'!E79,'2.Heat Targets'!E82,'2.Heat Targets'!E85)</f>
        <v>0.29350089175669686</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0</v>
      </c>
      <c r="L27" s="39">
        <f t="shared" ref="L27:L40" ca="1" si="1">IF(K27="","",K27/$K$41)</f>
        <v>0</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0</v>
      </c>
      <c r="L28" s="41">
        <f t="shared" ca="1" si="1"/>
        <v>0</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0</v>
      </c>
      <c r="L29" s="41">
        <f t="shared" ca="1" si="1"/>
        <v>0</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0</v>
      </c>
      <c r="L30" s="41">
        <f t="shared" ca="1" si="1"/>
        <v>0</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0</v>
      </c>
      <c r="L31" s="41">
        <f t="shared" ca="1" si="1"/>
        <v>0</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0</v>
      </c>
      <c r="L32" s="41">
        <f t="shared" ca="1" si="1"/>
        <v>0</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1</v>
      </c>
      <c r="L33" s="41">
        <f t="shared" ca="1" si="1"/>
        <v>0.33333333333333331</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0</v>
      </c>
      <c r="L34" s="41">
        <f t="shared" ca="1" si="1"/>
        <v>0</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1</v>
      </c>
      <c r="L35" s="41">
        <f t="shared" ca="1" si="1"/>
        <v>0.33333333333333331</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1</v>
      </c>
      <c r="L36" s="41">
        <f t="shared" ca="1" si="1"/>
        <v>0.33333333333333331</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0</v>
      </c>
      <c r="L37" s="41">
        <f t="shared" ca="1" si="1"/>
        <v>0</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0</v>
      </c>
      <c r="L38" s="41">
        <f t="shared" ca="1" si="1"/>
        <v>0</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0</v>
      </c>
      <c r="L39" s="41">
        <f t="shared" ca="1" si="1"/>
        <v>0</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0</v>
      </c>
      <c r="L40" s="41">
        <f t="shared" ca="1" si="1"/>
        <v>0</v>
      </c>
      <c r="Q40" s="23"/>
    </row>
    <row r="41" spans="2:19" ht="33" customHeight="1" x14ac:dyDescent="0.25">
      <c r="B41" s="54"/>
      <c r="D41" s="42"/>
      <c r="E41" s="185">
        <f>SUM(E27:E40)</f>
        <v>18617</v>
      </c>
      <c r="F41" s="185"/>
      <c r="G41" s="185">
        <f>SUM(G27:G40)</f>
        <v>201453</v>
      </c>
      <c r="H41" s="43"/>
      <c r="I41" s="44">
        <v>13000000</v>
      </c>
      <c r="J41" s="43"/>
      <c r="K41" s="185">
        <f ca="1">SUM(K27:K40)</f>
        <v>3</v>
      </c>
      <c r="L41" s="45">
        <f ca="1">SUMPRODUCT(J27:J40,L27:L40)</f>
        <v>1648.2363225636268</v>
      </c>
      <c r="M41" s="268" t="s">
        <v>542</v>
      </c>
      <c r="N41" s="269"/>
      <c r="O41" s="269"/>
      <c r="P41" s="269"/>
      <c r="Q41" s="269"/>
      <c r="R41" s="269"/>
      <c r="S41" s="269"/>
    </row>
    <row r="42" spans="2:19" ht="22.5" customHeight="1" x14ac:dyDescent="0.25">
      <c r="B42" s="54"/>
    </row>
    <row r="43" spans="2:19" ht="37.5" customHeight="1" x14ac:dyDescent="0.25">
      <c r="B43" s="55">
        <f ca="1">B22*B24</f>
        <v>4944.7089676908799</v>
      </c>
      <c r="C43" s="258" t="s">
        <v>488</v>
      </c>
      <c r="D43" s="257"/>
      <c r="E43" s="257"/>
      <c r="F43" s="257"/>
      <c r="G43" s="257"/>
      <c r="H43" s="257"/>
      <c r="I43" s="257"/>
      <c r="J43" s="257"/>
      <c r="K43" s="257"/>
      <c r="L43" s="257"/>
      <c r="M43" s="257"/>
      <c r="N43" s="257"/>
    </row>
    <row r="45" spans="2:19" ht="37.5" customHeight="1" x14ac:dyDescent="0.25">
      <c r="B45" s="194">
        <f ca="1">SUMPRODUCT(K27:K40,H27:H40)/SUMPRODUCT(E27:E40,H27:H40)</f>
        <v>1.7409997342412778E-4</v>
      </c>
      <c r="C45" s="256" t="s">
        <v>489</v>
      </c>
      <c r="D45" s="256"/>
      <c r="E45" s="256"/>
      <c r="F45" s="256"/>
      <c r="G45" s="256"/>
      <c r="H45" s="256"/>
      <c r="I45" s="256"/>
      <c r="J45" s="256"/>
      <c r="K45" s="256"/>
      <c r="L45" s="256"/>
      <c r="M45" s="256"/>
      <c r="N45" s="256"/>
      <c r="O45" s="256"/>
    </row>
    <row r="52" spans="4:4" x14ac:dyDescent="0.25">
      <c r="D52" s="23"/>
    </row>
  </sheetData>
  <mergeCells count="17">
    <mergeCell ref="E13:N13"/>
    <mergeCell ref="E12:N12"/>
    <mergeCell ref="C10:N10"/>
    <mergeCell ref="C45:O45"/>
    <mergeCell ref="C4:N4"/>
    <mergeCell ref="C18:N18"/>
    <mergeCell ref="C22:N22"/>
    <mergeCell ref="C24:N24"/>
    <mergeCell ref="C43:N43"/>
    <mergeCell ref="E9:F9"/>
    <mergeCell ref="C8:N8"/>
    <mergeCell ref="G9:N9"/>
    <mergeCell ref="E11:N11"/>
    <mergeCell ref="E16:N16"/>
    <mergeCell ref="E15:N15"/>
    <mergeCell ref="M41:S41"/>
    <mergeCell ref="E14:N14"/>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opLeftCell="A67" zoomScale="70" zoomScaleNormal="70" workbookViewId="0">
      <selection activeCell="C78" sqref="C78"/>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78" t="s">
        <v>491</v>
      </c>
      <c r="C4" s="279"/>
      <c r="D4" s="279"/>
      <c r="E4" s="279"/>
      <c r="F4" s="279"/>
      <c r="G4" s="279"/>
      <c r="H4" s="279"/>
      <c r="I4" s="279"/>
      <c r="J4" s="279"/>
      <c r="K4" s="279"/>
      <c r="L4" s="279"/>
      <c r="M4" s="279"/>
      <c r="N4" s="280"/>
    </row>
    <row r="5" spans="2:15" ht="19.5" customHeight="1" x14ac:dyDescent="0.25">
      <c r="B5" s="281"/>
      <c r="C5" s="282"/>
      <c r="D5" s="282"/>
      <c r="E5" s="282"/>
      <c r="F5" s="282"/>
      <c r="G5" s="282"/>
      <c r="H5" s="282"/>
      <c r="I5" s="282"/>
      <c r="J5" s="282"/>
      <c r="K5" s="282"/>
      <c r="L5" s="282"/>
      <c r="M5" s="282"/>
      <c r="N5" s="283"/>
    </row>
    <row r="6" spans="2:15" ht="19.5" customHeight="1" x14ac:dyDescent="0.25">
      <c r="B6" s="284"/>
      <c r="C6" s="285"/>
      <c r="D6" s="285"/>
      <c r="E6" s="285"/>
      <c r="F6" s="285"/>
      <c r="G6" s="285"/>
      <c r="H6" s="285"/>
      <c r="I6" s="285"/>
      <c r="J6" s="285"/>
      <c r="K6" s="285"/>
      <c r="L6" s="285"/>
      <c r="M6" s="285"/>
      <c r="N6" s="286"/>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87" t="s">
        <v>150</v>
      </c>
      <c r="N11" s="288"/>
      <c r="O11" s="289"/>
    </row>
    <row r="12" spans="2:15" x14ac:dyDescent="0.25">
      <c r="B12" s="1">
        <v>100</v>
      </c>
      <c r="C12" s="2" t="s">
        <v>99</v>
      </c>
      <c r="D12" s="2"/>
      <c r="E12" s="2"/>
      <c r="F12" s="2"/>
      <c r="G12" s="2"/>
      <c r="H12" s="2"/>
      <c r="I12" s="2"/>
      <c r="J12" s="2"/>
      <c r="K12" s="3"/>
      <c r="M12" s="290"/>
      <c r="N12" s="291"/>
      <c r="O12" s="292"/>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87" t="s">
        <v>168</v>
      </c>
      <c r="N14" s="288"/>
      <c r="O14" s="289"/>
    </row>
    <row r="15" spans="2:15" x14ac:dyDescent="0.25">
      <c r="B15" s="1">
        <v>100</v>
      </c>
      <c r="C15" s="114" t="s">
        <v>164</v>
      </c>
      <c r="D15" s="2"/>
      <c r="E15" s="2"/>
      <c r="F15" s="2"/>
      <c r="G15" s="2"/>
      <c r="H15" s="2"/>
      <c r="I15" s="2"/>
      <c r="J15" s="2"/>
      <c r="K15" s="3"/>
      <c r="M15" s="290"/>
      <c r="N15" s="291"/>
      <c r="O15" s="292"/>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87" t="s">
        <v>169</v>
      </c>
      <c r="N17" s="288"/>
      <c r="O17" s="289"/>
    </row>
    <row r="18" spans="2:18" x14ac:dyDescent="0.25">
      <c r="B18" s="1">
        <v>100</v>
      </c>
      <c r="C18" s="2" t="s">
        <v>161</v>
      </c>
      <c r="D18" s="2"/>
      <c r="E18" s="2"/>
      <c r="F18" s="2"/>
      <c r="G18" s="2"/>
      <c r="H18" s="2"/>
      <c r="I18" s="2"/>
      <c r="J18" s="2"/>
      <c r="K18" s="3"/>
      <c r="M18" s="290"/>
      <c r="N18" s="291"/>
      <c r="O18" s="292"/>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82338.41860465116</v>
      </c>
      <c r="C24" s="129">
        <f>'LEAP Region'!C14*1000</f>
        <v>69033.488372093037</v>
      </c>
      <c r="D24" s="129">
        <f>'LEAP Region'!D14*1000</f>
        <v>57039.627906976755</v>
      </c>
      <c r="E24" s="130">
        <f>'LEAP Region'!E14*1000</f>
        <v>38927.441860465122</v>
      </c>
      <c r="G24" s="271" t="s">
        <v>122</v>
      </c>
      <c r="H24" s="271"/>
      <c r="I24" s="271"/>
      <c r="J24" s="271"/>
      <c r="K24" s="271"/>
      <c r="L24" s="271"/>
      <c r="M24" s="271"/>
      <c r="N24" s="271"/>
    </row>
    <row r="25" spans="2:18" ht="56.25" customHeight="1" x14ac:dyDescent="0.25">
      <c r="B25" s="178">
        <f>('LEAP Region'!B7+'LEAP Region'!B8)*(2.4-1)*1000</f>
        <v>657.15348837209308</v>
      </c>
      <c r="C25" s="179">
        <f>('LEAP Region'!C7+'LEAP Region'!C8)*(2.6-1)*1000</f>
        <v>3522.0837209302331</v>
      </c>
      <c r="D25" s="179">
        <f>('LEAP Region'!D7+'LEAP Region'!D8)*(2.8-1)*1000</f>
        <v>6934.1023255813961</v>
      </c>
      <c r="E25" s="180">
        <f>('LEAP Region'!E7+'LEAP Region'!E8)*(2.3-1)*1000</f>
        <v>7427.776744186046</v>
      </c>
      <c r="G25" s="271" t="s">
        <v>178</v>
      </c>
      <c r="H25" s="271"/>
      <c r="I25" s="271"/>
      <c r="J25" s="271"/>
      <c r="K25" s="271"/>
      <c r="L25" s="271"/>
      <c r="M25" s="271"/>
      <c r="N25" s="271"/>
    </row>
    <row r="26" spans="2:18" ht="56.25" customHeight="1" x14ac:dyDescent="0.25">
      <c r="B26" s="128">
        <f>'LEAP Region'!H14*1000</f>
        <v>80218.046511627937</v>
      </c>
      <c r="C26" s="129">
        <f>'LEAP Region'!I14*1000</f>
        <v>65488.744186046533</v>
      </c>
      <c r="D26" s="129">
        <f>'LEAP Region'!J14*1000</f>
        <v>49529.302325581404</v>
      </c>
      <c r="E26" s="130">
        <f>'LEAP Region'!K14*1000</f>
        <v>27904.744186046515</v>
      </c>
      <c r="G26" s="271" t="s">
        <v>123</v>
      </c>
      <c r="H26" s="271"/>
      <c r="I26" s="271"/>
      <c r="J26" s="271"/>
      <c r="K26" s="271"/>
      <c r="L26" s="271"/>
      <c r="M26" s="271"/>
      <c r="N26" s="271"/>
    </row>
    <row r="27" spans="2:18" ht="56.25" customHeight="1" thickBot="1" x14ac:dyDescent="0.3">
      <c r="B27" s="181">
        <f>('LEAP Region'!H7+'LEAP Region'!H8)*(2.4-1)*1000</f>
        <v>883.75813953488375</v>
      </c>
      <c r="C27" s="182">
        <f>('LEAP Region'!I7+'LEAP Region'!I8)*(2.6-1)*1000</f>
        <v>4040.0372093023266</v>
      </c>
      <c r="D27" s="182">
        <f>('LEAP Region'!J7+'LEAP Region'!J8)*(2.8-1)*1000</f>
        <v>9177.4883720930229</v>
      </c>
      <c r="E27" s="183">
        <f>('LEAP Region'!K7+'LEAP Region'!K8)*(3-1)*1000</f>
        <v>12819.348837209305</v>
      </c>
      <c r="G27" s="271" t="s">
        <v>178</v>
      </c>
      <c r="H27" s="271"/>
      <c r="I27" s="271"/>
      <c r="J27" s="271"/>
      <c r="K27" s="271"/>
      <c r="L27" s="271"/>
      <c r="M27" s="271"/>
      <c r="N27" s="271"/>
    </row>
    <row r="28" spans="2:18" ht="56.25" customHeight="1" thickTop="1" x14ac:dyDescent="0.25">
      <c r="B28" s="128">
        <f>B24+B25-B26-B27</f>
        <v>1893.7674418604279</v>
      </c>
      <c r="C28" s="129">
        <f>C24+C25-C26-C27</f>
        <v>3026.7906976744039</v>
      </c>
      <c r="D28" s="129">
        <f>D24+D25-D26-D27</f>
        <v>5266.9395348837279</v>
      </c>
      <c r="E28" s="130">
        <f>E24+E25-E26-E27</f>
        <v>5631.1255813953503</v>
      </c>
      <c r="G28" s="271" t="s">
        <v>177</v>
      </c>
      <c r="H28" s="271"/>
      <c r="I28" s="271"/>
      <c r="J28" s="271"/>
      <c r="K28" s="271"/>
      <c r="L28" s="271"/>
      <c r="M28" s="271"/>
      <c r="N28" s="271"/>
    </row>
    <row r="29" spans="2:18" ht="56.25" customHeight="1" x14ac:dyDescent="0.25">
      <c r="B29" s="272">
        <f>0.25*'1.Current Heat'!B10</f>
        <v>35.672499999999999</v>
      </c>
      <c r="C29" s="273"/>
      <c r="D29" s="273"/>
      <c r="E29" s="274"/>
      <c r="G29" s="271" t="s">
        <v>124</v>
      </c>
      <c r="H29" s="271"/>
      <c r="I29" s="271"/>
      <c r="J29" s="271"/>
      <c r="K29" s="271"/>
      <c r="L29" s="271"/>
      <c r="M29" s="271"/>
      <c r="N29" s="271"/>
      <c r="R29">
        <v>60</v>
      </c>
    </row>
    <row r="30" spans="2:18" ht="56.25" customHeight="1" x14ac:dyDescent="0.25">
      <c r="B30" s="128">
        <f>B28/$B$29</f>
        <v>53.08760086510415</v>
      </c>
      <c r="C30" s="129">
        <f>C28/$B$29</f>
        <v>84.849413348501059</v>
      </c>
      <c r="D30" s="129">
        <f>D28/$B$29</f>
        <v>147.64705402995943</v>
      </c>
      <c r="E30" s="130">
        <f>E28/$B$29</f>
        <v>157.85620804247952</v>
      </c>
      <c r="G30" s="271" t="s">
        <v>125</v>
      </c>
      <c r="H30" s="271"/>
      <c r="I30" s="271"/>
      <c r="J30" s="271"/>
      <c r="K30" s="271"/>
      <c r="L30" s="271"/>
      <c r="M30" s="271"/>
      <c r="N30" s="271"/>
      <c r="R30">
        <v>96</v>
      </c>
    </row>
    <row r="31" spans="2:18" ht="56.25" customHeight="1" x14ac:dyDescent="0.25">
      <c r="B31" s="131">
        <f>'1.Current Heat'!B8</f>
        <v>384</v>
      </c>
      <c r="C31" s="132">
        <f t="shared" ref="C31:E31" si="0">B31*1.06</f>
        <v>407.04</v>
      </c>
      <c r="D31" s="132">
        <f t="shared" si="0"/>
        <v>431.46240000000006</v>
      </c>
      <c r="E31" s="133">
        <f t="shared" si="0"/>
        <v>457.35014400000011</v>
      </c>
      <c r="G31" s="271" t="s">
        <v>126</v>
      </c>
      <c r="H31" s="271"/>
      <c r="I31" s="271"/>
      <c r="J31" s="271"/>
      <c r="K31" s="271"/>
      <c r="L31" s="271"/>
      <c r="M31" s="271"/>
      <c r="N31" s="271"/>
      <c r="O31" s="186">
        <f>(E31/B31)^(1/(E23-B23))-1</f>
        <v>5.006971033976404E-3</v>
      </c>
      <c r="R31">
        <f>R29+R30</f>
        <v>156</v>
      </c>
    </row>
    <row r="32" spans="2:18" ht="56.25" customHeight="1" x14ac:dyDescent="0.25">
      <c r="B32" s="134">
        <f>B30/B31</f>
        <v>0.13824896058620872</v>
      </c>
      <c r="C32" s="135">
        <f>C30/C31</f>
        <v>0.2084547301211209</v>
      </c>
      <c r="D32" s="135">
        <f>D30/D31</f>
        <v>0.34220143871159903</v>
      </c>
      <c r="E32" s="136">
        <f>E30/E31</f>
        <v>0.34515394848652214</v>
      </c>
      <c r="G32" s="271" t="s">
        <v>183</v>
      </c>
      <c r="H32" s="271"/>
      <c r="I32" s="271"/>
      <c r="J32" s="271"/>
      <c r="K32" s="271"/>
      <c r="L32" s="271"/>
      <c r="M32" s="271"/>
      <c r="N32" s="271"/>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1852.6387936943111</v>
      </c>
      <c r="C37" s="129">
        <f>('LEAP Region'!O11-'LEAP Region'!O6)*1000</f>
        <v>1762.165867032214</v>
      </c>
      <c r="D37" s="129">
        <f>('LEAP Region'!P11-'LEAP Region'!P6)*1000</f>
        <v>1630.5688827964361</v>
      </c>
      <c r="E37" s="130">
        <f>('LEAP Region'!Q11-'LEAP Region'!Q6)*1000</f>
        <v>1447.5668265935574</v>
      </c>
      <c r="G37" s="271" t="s">
        <v>179</v>
      </c>
      <c r="H37" s="271"/>
      <c r="I37" s="271"/>
      <c r="J37" s="271"/>
      <c r="K37" s="271"/>
      <c r="L37" s="271"/>
      <c r="M37" s="271"/>
      <c r="N37" s="271"/>
    </row>
    <row r="38" spans="2:34" ht="56.25" customHeight="1" x14ac:dyDescent="0.25">
      <c r="B38" s="128">
        <f>'LEAP Region'!N6*1000</f>
        <v>1550.3769705277587</v>
      </c>
      <c r="C38" s="129">
        <f>'LEAP Region'!O6*1000</f>
        <v>1649.074708704592</v>
      </c>
      <c r="D38" s="129">
        <f>'LEAP Region'!P6*1000</f>
        <v>1721.0418094585332</v>
      </c>
      <c r="E38" s="130">
        <f>'LEAP Region'!Q6*1000</f>
        <v>1873.2008224811514</v>
      </c>
      <c r="F38" s="184"/>
      <c r="G38" s="271" t="s">
        <v>97</v>
      </c>
      <c r="H38" s="271"/>
      <c r="I38" s="271"/>
      <c r="J38" s="271"/>
      <c r="K38" s="271"/>
      <c r="L38" s="271"/>
      <c r="M38" s="271"/>
      <c r="N38" s="271"/>
    </row>
    <row r="39" spans="2:34" ht="56.25" customHeight="1" x14ac:dyDescent="0.25">
      <c r="B39" s="128">
        <f>0.005*B38</f>
        <v>7.7518848526387938</v>
      </c>
      <c r="C39" s="129">
        <f>B39-(($B$39-$E$39)/3)</f>
        <v>36.387936943111718</v>
      </c>
      <c r="D39" s="129">
        <f>C39-(($B$39-$E$39)/3)</f>
        <v>65.023989033584641</v>
      </c>
      <c r="E39" s="130">
        <f>0.05*E38</f>
        <v>93.660041124057571</v>
      </c>
      <c r="G39" s="271" t="s">
        <v>195</v>
      </c>
      <c r="H39" s="271"/>
      <c r="I39" s="271"/>
      <c r="J39" s="271"/>
      <c r="K39" s="271"/>
      <c r="L39" s="271"/>
      <c r="M39" s="271"/>
      <c r="N39" s="271"/>
      <c r="V39" s="21"/>
      <c r="W39" s="21"/>
      <c r="X39" s="21"/>
      <c r="Y39" s="21"/>
      <c r="AH39" s="21"/>
    </row>
    <row r="40" spans="2:34" ht="56.25" customHeight="1" x14ac:dyDescent="0.25">
      <c r="B40" s="142">
        <f>B39*(2.4-1)</f>
        <v>10.852638793694311</v>
      </c>
      <c r="C40" s="143">
        <f>C39*(2.6-1)</f>
        <v>58.220699108978749</v>
      </c>
      <c r="D40" s="143">
        <f>D39*(2.8-1)</f>
        <v>117.04318026045235</v>
      </c>
      <c r="E40" s="144">
        <f>E39*(3-1)</f>
        <v>187.32008224811514</v>
      </c>
      <c r="G40" s="271" t="s">
        <v>196</v>
      </c>
      <c r="H40" s="271"/>
      <c r="I40" s="271"/>
      <c r="J40" s="271"/>
      <c r="K40" s="271"/>
      <c r="L40" s="271"/>
      <c r="M40" s="271"/>
      <c r="N40" s="271"/>
      <c r="V40" s="21"/>
      <c r="W40" s="21"/>
      <c r="X40" s="21"/>
      <c r="Y40" s="21"/>
      <c r="AH40" s="21"/>
    </row>
    <row r="41" spans="2:34" ht="56.25" customHeight="1" x14ac:dyDescent="0.25">
      <c r="B41" s="128">
        <f>('LEAP Region'!T11-'LEAP Region'!T6)*1000</f>
        <v>1846.4701850582592</v>
      </c>
      <c r="C41" s="129">
        <f>('LEAP Region'!U11-'LEAP Region'!U6)*1000</f>
        <v>1716.9294037011653</v>
      </c>
      <c r="D41" s="129">
        <f>('LEAP Region'!V11-'LEAP Region'!V6)*1000</f>
        <v>1544.2083618917068</v>
      </c>
      <c r="E41" s="130">
        <f>('LEAP Region'!W11-'LEAP Region'!W6)*1000</f>
        <v>1295.4078135709392</v>
      </c>
      <c r="G41" s="271" t="s">
        <v>197</v>
      </c>
      <c r="H41" s="271"/>
      <c r="I41" s="271"/>
      <c r="J41" s="271"/>
      <c r="K41" s="271"/>
      <c r="L41" s="271"/>
      <c r="M41" s="271"/>
      <c r="N41" s="271"/>
      <c r="AH41" s="21"/>
    </row>
    <row r="42" spans="2:34" ht="56.25" customHeight="1" x14ac:dyDescent="0.25">
      <c r="B42" s="128">
        <f>'LEAP Region'!T6*1000</f>
        <v>1529.8149417409184</v>
      </c>
      <c r="C42" s="129">
        <f>'LEAP Region'!U6*1000</f>
        <v>1515.4215215901302</v>
      </c>
      <c r="D42" s="129">
        <f>'LEAP Region'!V6*1000</f>
        <v>1468.1288553803975</v>
      </c>
      <c r="E42" s="130">
        <f>'LEAP Region'!W6*1000</f>
        <v>1422.8923920493487</v>
      </c>
      <c r="G42" s="271" t="s">
        <v>98</v>
      </c>
      <c r="H42" s="271"/>
      <c r="I42" s="271"/>
      <c r="J42" s="271"/>
      <c r="K42" s="271"/>
      <c r="L42" s="271"/>
      <c r="M42" s="271"/>
      <c r="N42" s="271"/>
      <c r="V42" s="29"/>
      <c r="W42" s="29"/>
      <c r="X42" s="29"/>
      <c r="Y42" s="29"/>
      <c r="AH42" s="21"/>
    </row>
    <row r="43" spans="2:34" ht="56.25" customHeight="1" x14ac:dyDescent="0.25">
      <c r="B43" s="128">
        <f>B39</f>
        <v>7.7518848526387938</v>
      </c>
      <c r="C43" s="129">
        <f>B43-(($B$43-$E$43)/3)</f>
        <v>43.669179803518396</v>
      </c>
      <c r="D43" s="129">
        <f>C43-(($B$43-$E$43)/3)</f>
        <v>79.586474754397997</v>
      </c>
      <c r="E43" s="130">
        <f>0.8*((E37+E39+E40-E41)/3)</f>
        <v>115.50376970527759</v>
      </c>
      <c r="G43" s="271" t="s">
        <v>142</v>
      </c>
      <c r="H43" s="271"/>
      <c r="I43" s="271"/>
      <c r="J43" s="271"/>
      <c r="K43" s="271"/>
      <c r="L43" s="271"/>
      <c r="M43" s="271"/>
      <c r="N43" s="271"/>
      <c r="AH43" s="21"/>
    </row>
    <row r="44" spans="2:34" ht="56.25" customHeight="1" x14ac:dyDescent="0.25">
      <c r="B44" s="128">
        <f>B43*(2.4-1)</f>
        <v>10.852638793694311</v>
      </c>
      <c r="C44" s="129">
        <f>C43*(2.6-1)</f>
        <v>69.870687685629434</v>
      </c>
      <c r="D44" s="129">
        <f>D43*(2.8-1)</f>
        <v>143.25565455791639</v>
      </c>
      <c r="E44" s="130">
        <f>E43*(3-1)</f>
        <v>231.00753941055518</v>
      </c>
      <c r="F44" s="21"/>
      <c r="G44" s="271" t="s">
        <v>96</v>
      </c>
      <c r="H44" s="271"/>
      <c r="I44" s="271"/>
      <c r="J44" s="271"/>
      <c r="K44" s="271"/>
      <c r="L44" s="271"/>
      <c r="M44" s="271"/>
      <c r="N44" s="271"/>
      <c r="R44">
        <v>33</v>
      </c>
      <c r="V44" s="21"/>
      <c r="W44" s="21"/>
      <c r="X44" s="21"/>
      <c r="Y44" s="21"/>
      <c r="AH44" s="21"/>
    </row>
    <row r="45" spans="2:34" ht="56.25" customHeight="1" x14ac:dyDescent="0.25">
      <c r="B45" s="128">
        <f>B37+B39+B40-B41-B43-B44</f>
        <v>6.1686086360518431</v>
      </c>
      <c r="C45" s="129">
        <f>C37+C39+C40-C41-C43-C44</f>
        <v>26.305231893991476</v>
      </c>
      <c r="D45" s="129">
        <f>D37+D39+D40-D41-D43-D44</f>
        <v>45.585560886452015</v>
      </c>
      <c r="E45" s="130">
        <f>E37+E39+E40-E41-E43-E44</f>
        <v>86.627827278958193</v>
      </c>
      <c r="F45" s="92"/>
      <c r="G45" s="271" t="s">
        <v>149</v>
      </c>
      <c r="H45" s="271"/>
      <c r="I45" s="271"/>
      <c r="J45" s="271"/>
      <c r="K45" s="271"/>
      <c r="L45" s="271"/>
      <c r="M45" s="271"/>
      <c r="N45" s="271"/>
      <c r="R45">
        <v>6</v>
      </c>
      <c r="AH45" s="21"/>
    </row>
    <row r="46" spans="2:34" ht="56.25" customHeight="1" x14ac:dyDescent="0.25">
      <c r="B46" s="275">
        <f ca="1">0.2*'1.Current Heat'!B24</f>
        <v>329.64726451272537</v>
      </c>
      <c r="C46" s="276"/>
      <c r="D46" s="276"/>
      <c r="E46" s="277"/>
      <c r="G46" s="271" t="s">
        <v>127</v>
      </c>
      <c r="H46" s="271"/>
      <c r="I46" s="271"/>
      <c r="J46" s="271"/>
      <c r="K46" s="271"/>
      <c r="L46" s="271"/>
      <c r="M46" s="271"/>
      <c r="N46" s="271"/>
      <c r="R46">
        <f>R45/R44</f>
        <v>0.18181818181818182</v>
      </c>
      <c r="AH46" s="21"/>
    </row>
    <row r="47" spans="2:34" ht="56.25" customHeight="1" x14ac:dyDescent="0.25">
      <c r="B47" s="128">
        <f ca="1">B45/$B$46</f>
        <v>1.8712755421071349E-2</v>
      </c>
      <c r="C47" s="129">
        <f ca="1">C45/$B$46</f>
        <v>7.9798119765607869E-2</v>
      </c>
      <c r="D47" s="129">
        <f ca="1">D45/$B$46</f>
        <v>0.13828587643169196</v>
      </c>
      <c r="E47" s="130">
        <f ca="1">E45/$B$46</f>
        <v>0.26278946196325587</v>
      </c>
      <c r="G47" s="271" t="s">
        <v>128</v>
      </c>
      <c r="H47" s="271"/>
      <c r="I47" s="271"/>
      <c r="J47" s="271"/>
      <c r="K47" s="271"/>
      <c r="L47" s="271"/>
      <c r="M47" s="271"/>
      <c r="N47" s="271"/>
    </row>
    <row r="48" spans="2:34" ht="56.25" customHeight="1" x14ac:dyDescent="0.25">
      <c r="B48" s="131">
        <f ca="1">'1.Current Heat'!B22</f>
        <v>3</v>
      </c>
      <c r="C48" s="132">
        <f t="shared" ref="C48:E48" ca="1" si="1">B48*1.06</f>
        <v>3.18</v>
      </c>
      <c r="D48" s="132">
        <f t="shared" ca="1" si="1"/>
        <v>3.3708000000000005</v>
      </c>
      <c r="E48" s="133">
        <f t="shared" ca="1" si="1"/>
        <v>3.5730480000000009</v>
      </c>
      <c r="G48" s="271" t="s">
        <v>194</v>
      </c>
      <c r="H48" s="271"/>
      <c r="I48" s="271"/>
      <c r="J48" s="271"/>
      <c r="K48" s="271"/>
      <c r="L48" s="271"/>
      <c r="M48" s="271"/>
      <c r="N48" s="271"/>
      <c r="O48" s="186">
        <f ca="1">(E48/B48)^(1/(E36-B36))-1</f>
        <v>5.006971033976404E-3</v>
      </c>
    </row>
    <row r="49" spans="1:14" ht="56.25" customHeight="1" x14ac:dyDescent="0.25">
      <c r="B49" s="134">
        <f ca="1">B47/B48</f>
        <v>6.237585140357116E-3</v>
      </c>
      <c r="C49" s="135">
        <f ca="1">C47/C48</f>
        <v>2.5093748353964739E-2</v>
      </c>
      <c r="D49" s="135">
        <f ca="1">D47/D48</f>
        <v>4.1024645909484972E-2</v>
      </c>
      <c r="E49" s="136">
        <f ca="1">E47/E48</f>
        <v>7.3547699880677733E-2</v>
      </c>
      <c r="G49" s="271" t="s">
        <v>182</v>
      </c>
      <c r="H49" s="271"/>
      <c r="I49" s="271"/>
      <c r="J49" s="271"/>
      <c r="K49" s="271"/>
      <c r="L49" s="271"/>
      <c r="M49" s="271"/>
      <c r="N49" s="271"/>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142.69</v>
      </c>
      <c r="C54" s="147">
        <f>C32*($B$54-$B$29)+(1-C32)*$B$54</f>
        <v>135.25389863975431</v>
      </c>
      <c r="D54" s="147">
        <f>D32*($B$54-$B$29)+(1-D32)*$B$54</f>
        <v>130.48281917756049</v>
      </c>
      <c r="E54" s="148">
        <f>E32*($B$54-$B$29)+(1-E32)*$B$54</f>
        <v>130.37749577261454</v>
      </c>
      <c r="F54" s="1"/>
      <c r="G54" s="271" t="s">
        <v>109</v>
      </c>
      <c r="H54" s="271"/>
      <c r="I54" s="271"/>
      <c r="J54" s="271"/>
      <c r="K54" s="271"/>
      <c r="L54" s="271"/>
      <c r="M54" s="271"/>
      <c r="N54" s="271"/>
    </row>
    <row r="55" spans="1:14" ht="56.25" customHeight="1" x14ac:dyDescent="0.25">
      <c r="B55" s="149">
        <f>('LEAP Region'!H4+'LEAP Region'!H9+'LEAP Region'!H12)*1000</f>
        <v>29588.09302325582</v>
      </c>
      <c r="C55" s="150">
        <f>('LEAP Region'!I4+'LEAP Region'!I9+'LEAP Region'!I12)*1000</f>
        <v>21478.883720930233</v>
      </c>
      <c r="D55" s="150">
        <f>('LEAP Region'!J4+'LEAP Region'!J9+'LEAP Region'!J12)*1000</f>
        <v>13661.023255813954</v>
      </c>
      <c r="E55" s="151">
        <f>('LEAP Region'!K4+'LEAP Region'!K9+'LEAP Region'!K12)*1000</f>
        <v>2055.6279069767447</v>
      </c>
      <c r="G55" s="271" t="s">
        <v>110</v>
      </c>
      <c r="H55" s="271"/>
      <c r="I55" s="271"/>
      <c r="J55" s="271"/>
      <c r="K55" s="271"/>
      <c r="L55" s="271"/>
      <c r="M55" s="271"/>
      <c r="N55" s="271"/>
    </row>
    <row r="56" spans="1:14" ht="56.25" customHeight="1" x14ac:dyDescent="0.25">
      <c r="B56" s="152">
        <f>'LEAP Region'!H4*1000/'2.Heat Targets'!B55</f>
        <v>7.6586433260393862E-3</v>
      </c>
      <c r="C56" s="153">
        <f>'LEAP Region'!I4*1000/'2.Heat Targets'!C55</f>
        <v>3.7678975131876423E-2</v>
      </c>
      <c r="D56" s="153">
        <f>'LEAP Region'!J4*1000/'2.Heat Targets'!D55</f>
        <v>9.7156398104265407E-2</v>
      </c>
      <c r="E56" s="154">
        <f>'LEAP Region'!K4*1000/'2.Heat Targets'!E55</f>
        <v>1</v>
      </c>
      <c r="G56" s="271" t="s">
        <v>137</v>
      </c>
      <c r="H56" s="271"/>
      <c r="I56" s="271"/>
      <c r="J56" s="271"/>
      <c r="K56" s="271"/>
      <c r="L56" s="271"/>
      <c r="M56" s="271"/>
      <c r="N56" s="271"/>
    </row>
    <row r="57" spans="1:14" ht="56.25" customHeight="1" x14ac:dyDescent="0.25">
      <c r="B57" s="128">
        <f>B55/B54</f>
        <v>207.35926149874427</v>
      </c>
      <c r="C57" s="129">
        <f>C55/C54</f>
        <v>158.80417449657961</v>
      </c>
      <c r="D57" s="129">
        <f>D55/D54</f>
        <v>104.69595416408109</v>
      </c>
      <c r="E57" s="130">
        <f>E55/E54</f>
        <v>15.76673869056261</v>
      </c>
      <c r="G57" s="271" t="s">
        <v>111</v>
      </c>
      <c r="H57" s="271"/>
      <c r="I57" s="271"/>
      <c r="J57" s="271"/>
      <c r="K57" s="271"/>
      <c r="L57" s="271"/>
      <c r="M57" s="271"/>
      <c r="N57" s="271"/>
    </row>
    <row r="58" spans="1:14" ht="56.25" customHeight="1" x14ac:dyDescent="0.25">
      <c r="B58" s="134">
        <f>B57/B31</f>
        <v>0.53999807681964651</v>
      </c>
      <c r="C58" s="135">
        <f>C57/C31</f>
        <v>0.39014390353915979</v>
      </c>
      <c r="D58" s="135">
        <f>D57/D31</f>
        <v>0.24265371481751613</v>
      </c>
      <c r="E58" s="136">
        <f>E57/E31</f>
        <v>3.4474108945645385E-2</v>
      </c>
      <c r="G58" s="271" t="s">
        <v>130</v>
      </c>
      <c r="H58" s="271"/>
      <c r="I58" s="271"/>
      <c r="J58" s="271"/>
      <c r="K58" s="271"/>
      <c r="L58" s="271"/>
      <c r="M58" s="271"/>
      <c r="N58" s="271"/>
    </row>
    <row r="59" spans="1:14" ht="56.25" customHeight="1" x14ac:dyDescent="0.25">
      <c r="B59" s="149">
        <f>('LEAP Region'!H5+'LEAP Region'!H13)*1000</f>
        <v>35204.651162790702</v>
      </c>
      <c r="C59" s="150">
        <f>('LEAP Region'!I5+'LEAP Region'!I13)*1000</f>
        <v>29507.162790697676</v>
      </c>
      <c r="D59" s="150">
        <f>('LEAP Region'!J5+'LEAP Region'!J13)*1000</f>
        <v>23388.837209302328</v>
      </c>
      <c r="E59" s="151">
        <f>('LEAP Region'!K5+'LEAP Region'!K13)*1000</f>
        <v>16930.604651162794</v>
      </c>
      <c r="G59" s="271" t="s">
        <v>112</v>
      </c>
      <c r="H59" s="271"/>
      <c r="I59" s="271"/>
      <c r="J59" s="271"/>
      <c r="K59" s="271"/>
      <c r="L59" s="271"/>
      <c r="M59" s="271"/>
      <c r="N59" s="271"/>
    </row>
    <row r="60" spans="1:14" ht="56.25" customHeight="1" x14ac:dyDescent="0.25">
      <c r="A60" s="2"/>
      <c r="B60" s="128">
        <f>B59/B54</f>
        <v>246.72122196923894</v>
      </c>
      <c r="C60" s="129">
        <f>C59/C54</f>
        <v>218.16127363019186</v>
      </c>
      <c r="D60" s="129">
        <f>D59/D54</f>
        <v>179.24840493731895</v>
      </c>
      <c r="E60" s="130">
        <f>E59/E54</f>
        <v>129.85833598683848</v>
      </c>
      <c r="G60" s="271" t="s">
        <v>140</v>
      </c>
      <c r="H60" s="271"/>
      <c r="I60" s="271"/>
      <c r="J60" s="271"/>
      <c r="K60" s="271"/>
      <c r="L60" s="271"/>
      <c r="M60" s="271"/>
      <c r="N60" s="271"/>
    </row>
    <row r="61" spans="1:14" ht="56.25" customHeight="1" x14ac:dyDescent="0.25">
      <c r="B61" s="134">
        <f>B60/B31</f>
        <v>0.64250318221155978</v>
      </c>
      <c r="C61" s="135">
        <f>C60/C31</f>
        <v>0.53597011013706719</v>
      </c>
      <c r="D61" s="135">
        <f>D60/D31</f>
        <v>0.41544386008449158</v>
      </c>
      <c r="E61" s="136">
        <f>E60/E31</f>
        <v>0.28393636186728399</v>
      </c>
      <c r="G61" s="271" t="s">
        <v>131</v>
      </c>
      <c r="H61" s="271"/>
      <c r="I61" s="271"/>
      <c r="J61" s="271"/>
      <c r="K61" s="271"/>
      <c r="L61" s="271"/>
      <c r="M61" s="271"/>
      <c r="N61" s="271"/>
    </row>
    <row r="62" spans="1:14" ht="56.25" customHeight="1" x14ac:dyDescent="0.25">
      <c r="B62" s="149">
        <f>('LEAP Region'!H7+'LEAP Region'!H8)*1000</f>
        <v>631.25581395348854</v>
      </c>
      <c r="C62" s="150">
        <f>('LEAP Region'!I7+'LEAP Region'!I8)*1000</f>
        <v>2525.0232558139542</v>
      </c>
      <c r="D62" s="150">
        <f>('LEAP Region'!J7+'LEAP Region'!J8)*1000</f>
        <v>5098.604651162791</v>
      </c>
      <c r="E62" s="151">
        <f>('LEAP Region'!K7+'LEAP Region'!K8)*1000</f>
        <v>6409.6744186046526</v>
      </c>
      <c r="G62" s="271" t="s">
        <v>113</v>
      </c>
      <c r="H62" s="271"/>
      <c r="I62" s="271"/>
      <c r="J62" s="271"/>
      <c r="K62" s="271"/>
      <c r="L62" s="271"/>
      <c r="M62" s="271"/>
      <c r="N62" s="271"/>
    </row>
    <row r="63" spans="1:14" ht="56.25" customHeight="1" x14ac:dyDescent="0.25">
      <c r="B63" s="128">
        <f>B62/((0.7*B54)/2.4)</f>
        <v>15.167885961458632</v>
      </c>
      <c r="C63" s="129">
        <f>C62/((0.75*C54)/2.6)</f>
        <v>64.718385506970804</v>
      </c>
      <c r="D63" s="129">
        <f>D62/((0.8*D54)/2.8)</f>
        <v>136.76219131030732</v>
      </c>
      <c r="E63" s="130">
        <f>E62/((0.85*E54)/3)</f>
        <v>173.51445636302344</v>
      </c>
      <c r="F63" s="91"/>
      <c r="G63" s="271" t="s">
        <v>180</v>
      </c>
      <c r="H63" s="271"/>
      <c r="I63" s="271"/>
      <c r="J63" s="271"/>
      <c r="K63" s="271"/>
      <c r="L63" s="271"/>
      <c r="M63" s="271"/>
      <c r="N63" s="271"/>
    </row>
    <row r="64" spans="1:14" ht="56.25" customHeight="1" x14ac:dyDescent="0.25">
      <c r="B64" s="134">
        <f>B63/B31</f>
        <v>3.9499703024631856E-2</v>
      </c>
      <c r="C64" s="135">
        <f>C63/C31</f>
        <v>0.15899760590352496</v>
      </c>
      <c r="D64" s="135">
        <f>D63/D31</f>
        <v>0.31697360259041646</v>
      </c>
      <c r="E64" s="136">
        <f>E63/E31</f>
        <v>0.3793908423105764</v>
      </c>
      <c r="G64" s="271" t="s">
        <v>114</v>
      </c>
      <c r="H64" s="271"/>
      <c r="I64" s="271"/>
      <c r="J64" s="271"/>
      <c r="K64" s="271"/>
      <c r="L64" s="271"/>
      <c r="M64" s="271"/>
      <c r="N64" s="271"/>
    </row>
    <row r="65" spans="1:20" ht="56.25" customHeight="1" x14ac:dyDescent="0.25">
      <c r="B65" s="149">
        <f>('LEAP Region'!H10+'LEAP Region'!H11)*1000</f>
        <v>11443.534883720933</v>
      </c>
      <c r="C65" s="150">
        <f>('LEAP Region'!I10+'LEAP Region'!I11)*1000</f>
        <v>8950.8837209302346</v>
      </c>
      <c r="D65" s="150">
        <f>('LEAP Region'!J10+'LEAP Region'!J11)*1000</f>
        <v>5729.8604651162805</v>
      </c>
      <c r="E65" s="151">
        <f>('LEAP Region'!K10+'LEAP Region'!K11)*1000</f>
        <v>2007.0697674418607</v>
      </c>
      <c r="G65" s="271" t="s">
        <v>115</v>
      </c>
      <c r="H65" s="271"/>
      <c r="I65" s="271"/>
      <c r="J65" s="271"/>
      <c r="K65" s="271"/>
      <c r="L65" s="271"/>
      <c r="M65" s="271"/>
      <c r="N65" s="271"/>
    </row>
    <row r="66" spans="1:20" ht="56.25" customHeight="1" x14ac:dyDescent="0.25">
      <c r="B66" s="128">
        <f>B65/B54</f>
        <v>80.1985765205756</v>
      </c>
      <c r="C66" s="129">
        <f>C65/C54</f>
        <v>66.17837867114433</v>
      </c>
      <c r="D66" s="129">
        <f>D65/D54</f>
        <v>43.912758026166721</v>
      </c>
      <c r="E66" s="130">
        <f>E65/E54</f>
        <v>15.394296044328845</v>
      </c>
      <c r="G66" s="271" t="s">
        <v>146</v>
      </c>
      <c r="H66" s="271"/>
      <c r="I66" s="271"/>
      <c r="J66" s="271"/>
      <c r="K66" s="271"/>
      <c r="L66" s="271"/>
      <c r="M66" s="271"/>
      <c r="N66" s="271"/>
    </row>
    <row r="67" spans="1:20" ht="56.25" customHeight="1" x14ac:dyDescent="0.25">
      <c r="A67" s="21"/>
      <c r="B67" s="134">
        <f>B66/B31</f>
        <v>0.20885045968899896</v>
      </c>
      <c r="C67" s="135">
        <f>C66/C31</f>
        <v>0.16258446017871542</v>
      </c>
      <c r="D67" s="135">
        <f>D66/D31</f>
        <v>0.10177655811066437</v>
      </c>
      <c r="E67" s="136">
        <f>E66/E31</f>
        <v>3.3659759915433289E-2</v>
      </c>
      <c r="G67" s="271" t="s">
        <v>116</v>
      </c>
      <c r="H67" s="271"/>
      <c r="I67" s="271"/>
      <c r="J67" s="271"/>
      <c r="K67" s="271"/>
      <c r="L67" s="271"/>
      <c r="M67" s="271"/>
      <c r="N67" s="271"/>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1648.2363225636268</v>
      </c>
      <c r="C72" s="156">
        <f ca="1">C49*($B$72-$B$46)+(1-C49)*$B$72</f>
        <v>1639.9642370623715</v>
      </c>
      <c r="D72" s="156">
        <f ca="1">D49*($B$72-$B$46)+(1-D49)*$B$72</f>
        <v>1634.7126602619619</v>
      </c>
      <c r="E72" s="157">
        <f ca="1">E49*($B$72-$B$46)+(1-E49)*$B$72</f>
        <v>1623.9915244867584</v>
      </c>
      <c r="G72" s="270" t="s">
        <v>134</v>
      </c>
      <c r="H72" s="270"/>
      <c r="I72" s="270"/>
      <c r="J72" s="270"/>
      <c r="K72" s="270"/>
      <c r="L72" s="270"/>
      <c r="M72" s="270"/>
      <c r="N72" s="270"/>
    </row>
    <row r="73" spans="1:20" ht="56.25" customHeight="1" x14ac:dyDescent="0.25">
      <c r="B73" s="149">
        <f>('LEAP Region'!T4+'LEAP Region'!T5+'LEAP Region'!T9)*1000</f>
        <v>941.74091843728581</v>
      </c>
      <c r="C73" s="150">
        <f>('LEAP Region'!U4+'LEAP Region'!U5+'LEAP Region'!U9)*1000</f>
        <v>789.58190541466752</v>
      </c>
      <c r="D73" s="150">
        <f>('LEAP Region'!V4+'LEAP Region'!V5+'LEAP Region'!V9)*1000</f>
        <v>612.748457847841</v>
      </c>
      <c r="E73" s="151">
        <f>('LEAP Region'!W4+'LEAP Region'!W5+'LEAP Region'!W9)*1000</f>
        <v>339.27347498286497</v>
      </c>
      <c r="G73" s="271" t="s">
        <v>133</v>
      </c>
      <c r="H73" s="271"/>
      <c r="I73" s="271"/>
      <c r="J73" s="271"/>
      <c r="K73" s="271"/>
      <c r="L73" s="271"/>
      <c r="M73" s="271"/>
      <c r="N73" s="271"/>
    </row>
    <row r="74" spans="1:20" ht="56.25" customHeight="1" x14ac:dyDescent="0.25">
      <c r="B74" s="158">
        <f ca="1">com_share_state_target*'LEAP Statewide'!T4*1000/'2.Heat Targets'!B73</f>
        <v>7.6166584297693305E-3</v>
      </c>
      <c r="C74" s="145">
        <f ca="1">com_share_state_target*'LEAP Statewide'!U4*1000/'2.Heat Targets'!C73</f>
        <v>5.6799874524103053E-2</v>
      </c>
      <c r="D74" s="145">
        <f ca="1">com_share_state_target*'LEAP Statewide'!V4*1000/'2.Heat Targets'!D73</f>
        <v>0.13731983504522408</v>
      </c>
      <c r="E74" s="159">
        <f ca="1">com_share_state_target*'LEAP Statewide'!W4*1000/'2.Heat Targets'!E73</f>
        <v>0.44100564351000932</v>
      </c>
      <c r="G74" s="271" t="s">
        <v>136</v>
      </c>
      <c r="H74" s="271"/>
      <c r="I74" s="271"/>
      <c r="J74" s="271"/>
      <c r="K74" s="271"/>
      <c r="L74" s="271"/>
      <c r="M74" s="271"/>
      <c r="N74" s="271"/>
    </row>
    <row r="75" spans="1:20" ht="56.25" customHeight="1" x14ac:dyDescent="0.25">
      <c r="B75" s="128">
        <f ca="1">B73/B72</f>
        <v>0.5713627988567348</v>
      </c>
      <c r="C75" s="129">
        <f ca="1">C73/C72</f>
        <v>0.48146288045221436</v>
      </c>
      <c r="D75" s="129">
        <f ca="1">D73/D72</f>
        <v>0.37483557370238285</v>
      </c>
      <c r="E75" s="130">
        <f ca="1">E73/E72</f>
        <v>0.20891332859023878</v>
      </c>
      <c r="G75" s="271" t="s">
        <v>135</v>
      </c>
      <c r="H75" s="271"/>
      <c r="I75" s="271"/>
      <c r="J75" s="271"/>
      <c r="K75" s="271"/>
      <c r="L75" s="271"/>
      <c r="M75" s="271"/>
      <c r="N75" s="271"/>
    </row>
    <row r="76" spans="1:20" ht="56.25" customHeight="1" x14ac:dyDescent="0.25">
      <c r="B76" s="134">
        <f ca="1">B75/B48</f>
        <v>0.19045426628557827</v>
      </c>
      <c r="C76" s="135">
        <f ca="1">C75/C48</f>
        <v>0.15140342152585357</v>
      </c>
      <c r="D76" s="135">
        <f ca="1">D75/D48</f>
        <v>0.11120077539527198</v>
      </c>
      <c r="E76" s="136">
        <f ca="1">E75/E48</f>
        <v>5.8469219722275978E-2</v>
      </c>
      <c r="G76" s="271" t="s">
        <v>181</v>
      </c>
      <c r="H76" s="271"/>
      <c r="I76" s="271"/>
      <c r="J76" s="271"/>
      <c r="K76" s="271"/>
      <c r="L76" s="271"/>
      <c r="M76" s="271"/>
      <c r="N76" s="271"/>
    </row>
    <row r="77" spans="1:20" ht="56.25" customHeight="1" x14ac:dyDescent="0.25">
      <c r="B77" s="128">
        <f>'LEAP Region'!T10*1000</f>
        <v>289.92460589444823</v>
      </c>
      <c r="C77" s="129">
        <f>'LEAP Region'!U10*1000</f>
        <v>396.84715558601778</v>
      </c>
      <c r="D77" s="129">
        <f>'LEAP Region'!V10*1000</f>
        <v>501.71350239890336</v>
      </c>
      <c r="E77" s="130">
        <f>'LEAP Region'!W10*1000</f>
        <v>682.65935572309797</v>
      </c>
      <c r="G77" s="271" t="s">
        <v>138</v>
      </c>
      <c r="H77" s="271"/>
      <c r="I77" s="271"/>
      <c r="J77" s="271"/>
      <c r="K77" s="271"/>
      <c r="L77" s="271"/>
      <c r="M77" s="271"/>
      <c r="N77" s="271"/>
    </row>
    <row r="78" spans="1:20" ht="56.25" customHeight="1" x14ac:dyDescent="0.25">
      <c r="B78" s="128">
        <f ca="1">B77/B72</f>
        <v>0.17589990095807775</v>
      </c>
      <c r="C78" s="129">
        <f ca="1">C77/C72</f>
        <v>0.24198524981061817</v>
      </c>
      <c r="D78" s="129">
        <f ca="1">D77/D72</f>
        <v>0.30691234893752156</v>
      </c>
      <c r="E78" s="130">
        <f ca="1">E77/E72</f>
        <v>0.42035893995126833</v>
      </c>
      <c r="G78" s="271" t="s">
        <v>139</v>
      </c>
      <c r="H78" s="271"/>
      <c r="I78" s="271"/>
      <c r="J78" s="271"/>
      <c r="K78" s="271"/>
      <c r="L78" s="271"/>
      <c r="M78" s="271"/>
      <c r="N78" s="271"/>
    </row>
    <row r="79" spans="1:20" ht="56.25" customHeight="1" x14ac:dyDescent="0.25">
      <c r="B79" s="134">
        <f ca="1">B78/B48</f>
        <v>5.8633300319359254E-2</v>
      </c>
      <c r="C79" s="135">
        <f ca="1">C78/C48</f>
        <v>7.6095990506483691E-2</v>
      </c>
      <c r="D79" s="135">
        <f ca="1">D78/D48</f>
        <v>9.1050299316934119E-2</v>
      </c>
      <c r="E79" s="136">
        <f ca="1">E78/E48</f>
        <v>0.11764715725936742</v>
      </c>
      <c r="G79" s="271" t="s">
        <v>141</v>
      </c>
      <c r="H79" s="271"/>
      <c r="I79" s="271"/>
      <c r="J79" s="271"/>
      <c r="K79" s="271"/>
      <c r="L79" s="271"/>
      <c r="M79" s="271"/>
      <c r="N79" s="271"/>
    </row>
    <row r="80" spans="1:20" ht="56.25" customHeight="1" x14ac:dyDescent="0.25">
      <c r="B80" s="149">
        <f>B43</f>
        <v>7.7518848526387938</v>
      </c>
      <c r="C80" s="150">
        <f>C43</f>
        <v>43.669179803518396</v>
      </c>
      <c r="D80" s="150">
        <f>D43</f>
        <v>79.586474754397997</v>
      </c>
      <c r="E80" s="151">
        <f>E43</f>
        <v>115.50376970527759</v>
      </c>
      <c r="G80" s="271" t="s">
        <v>142</v>
      </c>
      <c r="H80" s="271"/>
      <c r="I80" s="271"/>
      <c r="J80" s="271"/>
      <c r="K80" s="271"/>
      <c r="L80" s="271"/>
      <c r="M80" s="271"/>
      <c r="N80" s="271"/>
    </row>
    <row r="81" spans="2:14" ht="56.25" customHeight="1" x14ac:dyDescent="0.25">
      <c r="B81" s="128">
        <f ca="1">B80/((0.7*B72)/2.4)</f>
        <v>1.6125048671415274E-2</v>
      </c>
      <c r="C81" s="129">
        <f ca="1">C80/((0.75*C72)/2.6)</f>
        <v>9.2310848349172192E-2</v>
      </c>
      <c r="D81" s="129">
        <f ca="1">D80/((0.8*D72)/2.8)</f>
        <v>0.17039854673649804</v>
      </c>
      <c r="E81" s="130">
        <f ca="1">E80/((0.85*E72)/3)</f>
        <v>0.25102370149038888</v>
      </c>
      <c r="G81" s="271" t="s">
        <v>143</v>
      </c>
      <c r="H81" s="271"/>
      <c r="I81" s="271"/>
      <c r="J81" s="271"/>
      <c r="K81" s="271"/>
      <c r="L81" s="271"/>
      <c r="M81" s="271"/>
      <c r="N81" s="271"/>
    </row>
    <row r="82" spans="2:14" ht="56.25" customHeight="1" x14ac:dyDescent="0.25">
      <c r="B82" s="134">
        <f ca="1">B81/B48</f>
        <v>5.3750162238050915E-3</v>
      </c>
      <c r="C82" s="135">
        <f ca="1">C81/C48</f>
        <v>2.9028568663261693E-2</v>
      </c>
      <c r="D82" s="135">
        <f ca="1">D81/D48</f>
        <v>5.0551366659694438E-2</v>
      </c>
      <c r="E82" s="136">
        <f ca="1">E81/E48</f>
        <v>7.0254780089824942E-2</v>
      </c>
      <c r="G82" s="271" t="s">
        <v>144</v>
      </c>
      <c r="H82" s="271"/>
      <c r="I82" s="271"/>
      <c r="J82" s="271"/>
      <c r="K82" s="271"/>
      <c r="L82" s="271"/>
      <c r="M82" s="271"/>
      <c r="N82" s="271"/>
    </row>
    <row r="83" spans="2:14" ht="56.25" customHeight="1" x14ac:dyDescent="0.25">
      <c r="B83" s="149">
        <f>('LEAP Region'!T7+'LEAP Region'!T8)*1000</f>
        <v>614.80466072652496</v>
      </c>
      <c r="C83" s="150">
        <f>('LEAP Region'!U7+'LEAP Region'!U8)*1000</f>
        <v>530.50034270047979</v>
      </c>
      <c r="D83" s="150">
        <f>('LEAP Region'!V7+'LEAP Region'!V8)*1000</f>
        <v>429.7464016449623</v>
      </c>
      <c r="E83" s="151">
        <f>('LEAP Region'!W7+'LEAP Region'!W8)*1000</f>
        <v>273.47498286497603</v>
      </c>
      <c r="G83" s="271" t="s">
        <v>145</v>
      </c>
      <c r="H83" s="271"/>
      <c r="I83" s="271"/>
      <c r="J83" s="271"/>
      <c r="K83" s="271"/>
      <c r="L83" s="271"/>
      <c r="M83" s="271"/>
      <c r="N83" s="271"/>
    </row>
    <row r="84" spans="2:14" ht="56.25" customHeight="1" x14ac:dyDescent="0.25">
      <c r="B84" s="128">
        <f ca="1">B83/B72</f>
        <v>0.37300759139337053</v>
      </c>
      <c r="C84" s="129">
        <f ca="1">C83/C72</f>
        <v>0.32348287280383159</v>
      </c>
      <c r="D84" s="129">
        <f ca="1">D83/D72</f>
        <v>0.26288803658992627</v>
      </c>
      <c r="E84" s="130">
        <f ca="1">E83/E72</f>
        <v>0.16839680425758644</v>
      </c>
      <c r="G84" s="271" t="s">
        <v>147</v>
      </c>
      <c r="H84" s="271"/>
      <c r="I84" s="271"/>
      <c r="J84" s="271"/>
      <c r="K84" s="271"/>
      <c r="L84" s="271"/>
      <c r="M84" s="271"/>
      <c r="N84" s="271"/>
    </row>
    <row r="85" spans="2:14" ht="56.25" customHeight="1" x14ac:dyDescent="0.25">
      <c r="B85" s="134">
        <f ca="1">B84/B48</f>
        <v>0.12433586379779017</v>
      </c>
      <c r="C85" s="135">
        <f ca="1">C84/C48</f>
        <v>0.10172417383768288</v>
      </c>
      <c r="D85" s="135">
        <f ca="1">D84/D48</f>
        <v>7.7989805562455869E-2</v>
      </c>
      <c r="E85" s="136">
        <f ca="1">E84/E48</f>
        <v>4.7129734685228519E-2</v>
      </c>
      <c r="G85" s="271" t="s">
        <v>148</v>
      </c>
      <c r="H85" s="271"/>
      <c r="I85" s="271"/>
      <c r="J85" s="271"/>
      <c r="K85" s="271"/>
      <c r="L85" s="271"/>
      <c r="M85" s="271"/>
      <c r="N85" s="271"/>
    </row>
    <row r="87" spans="2:14" x14ac:dyDescent="0.25">
      <c r="B87" s="24"/>
      <c r="C87" s="24"/>
      <c r="D87" s="24"/>
      <c r="E87" s="24"/>
    </row>
    <row r="89" spans="2:14" x14ac:dyDescent="0.25">
      <c r="B89" s="21"/>
      <c r="C89" s="21"/>
      <c r="D89" s="21"/>
      <c r="E89" s="21"/>
    </row>
  </sheetData>
  <mergeCells count="56">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 ref="G58:N58"/>
    <mergeCell ref="G59:N59"/>
    <mergeCell ref="G57:N57"/>
    <mergeCell ref="G56:N56"/>
    <mergeCell ref="G55:N55"/>
    <mergeCell ref="G54:N54"/>
    <mergeCell ref="G49:N49"/>
    <mergeCell ref="G48:N48"/>
    <mergeCell ref="G47:N47"/>
    <mergeCell ref="G46:N46"/>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topLeftCell="A17" zoomScale="70" zoomScaleNormal="70" workbookViewId="0">
      <selection activeCell="F26" sqref="F26"/>
    </sheetView>
  </sheetViews>
  <sheetFormatPr defaultRowHeight="15" x14ac:dyDescent="0.25"/>
  <cols>
    <col min="1" max="1" width="5.28515625" customWidth="1"/>
    <col min="2" max="20" width="12" customWidth="1"/>
  </cols>
  <sheetData>
    <row r="2" spans="2:15" ht="21" x14ac:dyDescent="0.35">
      <c r="B2" s="52" t="s">
        <v>503</v>
      </c>
    </row>
    <row r="3" spans="2:15" ht="21" x14ac:dyDescent="0.35">
      <c r="B3" s="52"/>
    </row>
    <row r="4" spans="2:15" ht="22.5" customHeight="1" x14ac:dyDescent="0.25">
      <c r="B4" s="278" t="s">
        <v>504</v>
      </c>
      <c r="C4" s="279"/>
      <c r="D4" s="279"/>
      <c r="E4" s="279"/>
      <c r="F4" s="279"/>
      <c r="G4" s="279"/>
      <c r="H4" s="279"/>
      <c r="I4" s="279"/>
      <c r="J4" s="279"/>
      <c r="K4" s="279"/>
      <c r="L4" s="279"/>
      <c r="M4" s="279"/>
      <c r="N4" s="280"/>
    </row>
    <row r="5" spans="2:15" ht="22.5" customHeight="1" x14ac:dyDescent="0.25">
      <c r="B5" s="281"/>
      <c r="C5" s="282"/>
      <c r="D5" s="282"/>
      <c r="E5" s="282"/>
      <c r="F5" s="282"/>
      <c r="G5" s="282"/>
      <c r="H5" s="282"/>
      <c r="I5" s="282"/>
      <c r="J5" s="282"/>
      <c r="K5" s="282"/>
      <c r="L5" s="282"/>
      <c r="M5" s="282"/>
      <c r="N5" s="283"/>
    </row>
    <row r="6" spans="2:15" ht="22.5" customHeight="1" x14ac:dyDescent="0.25">
      <c r="B6" s="284"/>
      <c r="C6" s="285"/>
      <c r="D6" s="285"/>
      <c r="E6" s="285"/>
      <c r="F6" s="285"/>
      <c r="G6" s="285"/>
      <c r="H6" s="285"/>
      <c r="I6" s="285"/>
      <c r="J6" s="285"/>
      <c r="K6" s="285"/>
      <c r="L6" s="285"/>
      <c r="M6" s="285"/>
      <c r="N6" s="286"/>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87" t="s">
        <v>151</v>
      </c>
      <c r="N11" s="288"/>
      <c r="O11" s="289"/>
    </row>
    <row r="12" spans="2:15" x14ac:dyDescent="0.25">
      <c r="B12" s="1">
        <v>100</v>
      </c>
      <c r="C12" s="2" t="s">
        <v>103</v>
      </c>
      <c r="D12" s="2"/>
      <c r="E12" s="2"/>
      <c r="F12" s="2"/>
      <c r="G12" s="2"/>
      <c r="H12" s="2"/>
      <c r="I12" s="2"/>
      <c r="J12" s="2"/>
      <c r="K12" s="3"/>
      <c r="M12" s="290"/>
      <c r="N12" s="291"/>
      <c r="O12" s="292"/>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48.558139534883729</v>
      </c>
      <c r="C18" s="129">
        <f>'LEAP Region'!I26*1000</f>
        <v>1327.2558139534885</v>
      </c>
      <c r="D18" s="129">
        <f>'LEAP Region'!J26*1000</f>
        <v>3852.2790697674423</v>
      </c>
      <c r="E18" s="130">
        <f>'LEAP Region'!K26*1000</f>
        <v>7461.7674418604665</v>
      </c>
      <c r="G18" s="271" t="s">
        <v>474</v>
      </c>
      <c r="H18" s="271"/>
      <c r="I18" s="271"/>
      <c r="J18" s="271"/>
      <c r="K18" s="271"/>
      <c r="L18" s="271"/>
      <c r="M18" s="271"/>
      <c r="N18" s="271"/>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271" t="s">
        <v>190</v>
      </c>
      <c r="H19" s="271"/>
      <c r="I19" s="271"/>
      <c r="J19" s="271"/>
      <c r="K19" s="271"/>
      <c r="L19" s="271"/>
      <c r="M19" s="271"/>
      <c r="N19" s="271"/>
      <c r="V19" t="s">
        <v>547</v>
      </c>
    </row>
    <row r="20" spans="2:22" ht="54.75" customHeight="1" x14ac:dyDescent="0.25">
      <c r="B20" s="128">
        <f>IF($F$22="adj",'1.Current Trans'!$O$13*B18/B19,B18/B19)</f>
        <v>3.4155783963575894</v>
      </c>
      <c r="C20" s="129">
        <f>IF($F$22="adj",'1.Current Trans'!$O$13*C18/C19,C18/C19)</f>
        <v>101.84633763684448</v>
      </c>
      <c r="D20" s="129">
        <f>IF($F$22="adj",'1.Current Trans'!$O$13*D18/D19,D18/D19)</f>
        <v>325.16306333324252</v>
      </c>
      <c r="E20" s="130">
        <f>IF($F$22="adj",'1.Current Trans'!$O$13*E18/E19,E18/E19)</f>
        <v>699.81406254259957</v>
      </c>
      <c r="G20" s="293" t="s">
        <v>106</v>
      </c>
      <c r="H20" s="293"/>
      <c r="I20" s="293"/>
      <c r="J20" s="293"/>
      <c r="K20" s="293"/>
      <c r="L20" s="293"/>
      <c r="M20" s="293"/>
      <c r="N20" s="293"/>
    </row>
    <row r="21" spans="2:22" ht="54.75" customHeight="1" x14ac:dyDescent="0.25">
      <c r="B21" s="131">
        <f>'1.Current Trans'!B9+'1.Current Trans'!B32</f>
        <v>709</v>
      </c>
      <c r="C21" s="132">
        <f t="shared" ref="C21:E21" si="0">B21*1.125</f>
        <v>797.625</v>
      </c>
      <c r="D21" s="132">
        <f t="shared" si="0"/>
        <v>897.328125</v>
      </c>
      <c r="E21" s="133">
        <f t="shared" si="0"/>
        <v>1009.494140625</v>
      </c>
      <c r="G21" s="293" t="s">
        <v>189</v>
      </c>
      <c r="H21" s="293"/>
      <c r="I21" s="293"/>
      <c r="J21" s="293"/>
      <c r="K21" s="293"/>
      <c r="L21" s="293"/>
      <c r="M21" s="293"/>
      <c r="N21" s="293"/>
      <c r="O21" s="186">
        <f>(E21/B21)^(1/(E17-B17))-1</f>
        <v>1.014682216717655E-2</v>
      </c>
    </row>
    <row r="22" spans="2:22" ht="54.75" customHeight="1" x14ac:dyDescent="0.25">
      <c r="B22" s="134">
        <f>B20/B21</f>
        <v>4.817458951139054E-3</v>
      </c>
      <c r="C22" s="135">
        <f>C20/C21</f>
        <v>0.12768699280594825</v>
      </c>
      <c r="D22" s="135">
        <f>D20/D21</f>
        <v>0.36236807280864236</v>
      </c>
      <c r="E22" s="136">
        <f>E20/E21</f>
        <v>0.69323241649459133</v>
      </c>
      <c r="F22" s="54" t="s">
        <v>545</v>
      </c>
      <c r="G22" s="293" t="s">
        <v>191</v>
      </c>
      <c r="H22" s="293"/>
      <c r="I22" s="293"/>
      <c r="J22" s="293"/>
      <c r="K22" s="293"/>
      <c r="L22" s="293"/>
      <c r="M22" s="293"/>
      <c r="N22" s="293"/>
    </row>
    <row r="23" spans="2:22" ht="54.75" customHeight="1" x14ac:dyDescent="0.25">
      <c r="B23" s="166">
        <f>('LEAP Region'!H24+'LEAP Region'!H25+'LEAP Region'!H27+'LEAP Region'!H28)*1000</f>
        <v>55340.093023255817</v>
      </c>
      <c r="C23" s="167">
        <f>('LEAP Region'!I24+'LEAP Region'!I25+'LEAP Region'!I27+'LEAP Region'!I28)*1000</f>
        <v>39704.372093023259</v>
      </c>
      <c r="D23" s="167">
        <f>('LEAP Region'!J24+'LEAP Region'!J25+'LEAP Region'!J27+'LEAP Region'!J28)*1000</f>
        <v>22676.651162790706</v>
      </c>
      <c r="E23" s="168">
        <f>('LEAP Region'!K24+'LEAP Region'!K25+'LEAP Region'!K27+'LEAP Region'!K28)*1000</f>
        <v>3156.2790697674423</v>
      </c>
      <c r="G23" s="271" t="s">
        <v>470</v>
      </c>
      <c r="H23" s="271"/>
      <c r="I23" s="271"/>
      <c r="J23" s="271"/>
      <c r="K23" s="271"/>
      <c r="L23" s="271"/>
      <c r="M23" s="271"/>
      <c r="N23" s="271"/>
    </row>
    <row r="24" spans="2:22" ht="54.75" customHeight="1" x14ac:dyDescent="0.25">
      <c r="B24" s="158">
        <f>res_share_state_target*('LEAP Statewide'!H25+'LEAP Statewide'!H28)*1000000/'2.Trans Targets'!B23</f>
        <v>0.1204752889114401</v>
      </c>
      <c r="C24" s="145">
        <f>res_share_state_target*('LEAP Statewide'!I25+'LEAP Statewide'!I28)*1000000/'2.Trans Targets'!C23</f>
        <v>0.12593916004531608</v>
      </c>
      <c r="D24" s="145">
        <f>res_share_state_target*('LEAP Statewide'!J25+'LEAP Statewide'!J28)*1000000/'2.Trans Targets'!D23</f>
        <v>0.14700393033126824</v>
      </c>
      <c r="E24" s="159">
        <f>res_share_state_target*('LEAP Statewide'!K25+'LEAP Statewide'!K28)*1000000/'2.Trans Targets'!E23</f>
        <v>0.52808334972847915</v>
      </c>
      <c r="G24" s="271" t="s">
        <v>192</v>
      </c>
      <c r="H24" s="271"/>
      <c r="I24" s="271"/>
      <c r="J24" s="271"/>
      <c r="K24" s="271"/>
      <c r="L24" s="271"/>
      <c r="M24" s="271"/>
      <c r="N24" s="271"/>
    </row>
    <row r="25" spans="2:22" ht="54.75" customHeight="1" x14ac:dyDescent="0.25">
      <c r="B25" s="128">
        <f>'1.Current Trans'!B26/'1.Current Trans'!B9</f>
        <v>75.071267727272726</v>
      </c>
      <c r="C25" s="129">
        <f>B25-(($B$25-$E$25)/3)</f>
        <v>64.194336818181824</v>
      </c>
      <c r="D25" s="129">
        <f>C25-(($B$25-$E$25)/3)</f>
        <v>53.317405909090915</v>
      </c>
      <c r="E25" s="169">
        <f>('1.Current Trans'!B9*'1.Current Trans'!B13/40)*'1.Current Trans'!B21/'1.Current Trans'!B9/1000000</f>
        <v>42.440474999999999</v>
      </c>
      <c r="G25" s="271" t="s">
        <v>193</v>
      </c>
      <c r="H25" s="271"/>
      <c r="I25" s="271"/>
      <c r="J25" s="271"/>
      <c r="K25" s="271"/>
      <c r="L25" s="271"/>
      <c r="M25" s="271"/>
      <c r="N25" s="271"/>
    </row>
    <row r="26" spans="2:22" ht="54.75" customHeight="1" x14ac:dyDescent="0.25">
      <c r="B26" s="128">
        <f>IF($F$22="adj",'1.Current Trans'!$O$13*B23/B25,B23/B25)</f>
        <v>825.62751452683153</v>
      </c>
      <c r="C26" s="135">
        <f>C24/C25</f>
        <v>1.9618422167365737E-3</v>
      </c>
      <c r="D26" s="135">
        <f>D24/D25</f>
        <v>2.7571470859238342E-3</v>
      </c>
      <c r="E26" s="136">
        <f>E24/E25</f>
        <v>1.2442917986391038E-2</v>
      </c>
      <c r="G26" s="293" t="s">
        <v>107</v>
      </c>
      <c r="H26" s="293"/>
      <c r="I26" s="293"/>
      <c r="J26" s="293"/>
      <c r="K26" s="293"/>
      <c r="L26" s="293"/>
      <c r="M26" s="293"/>
      <c r="N26" s="293"/>
    </row>
    <row r="27" spans="2:22" ht="54.75" customHeight="1" x14ac:dyDescent="0.25">
      <c r="B27" s="134">
        <f>B26/B21</f>
        <v>1.1644957891774774</v>
      </c>
      <c r="C27" s="135">
        <f>C26/C21</f>
        <v>2.4596047224404623E-6</v>
      </c>
      <c r="D27" s="135">
        <f>D26/D21</f>
        <v>3.0726185986021938E-6</v>
      </c>
      <c r="E27" s="136">
        <f>E26/E21</f>
        <v>1.2325894213400143E-5</v>
      </c>
      <c r="G27" s="293" t="s">
        <v>108</v>
      </c>
      <c r="H27" s="293"/>
      <c r="I27" s="293"/>
      <c r="J27" s="293"/>
      <c r="K27" s="293"/>
      <c r="L27" s="293"/>
      <c r="M27" s="293"/>
      <c r="N27" s="293"/>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L17" sqref="L17:L19"/>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194232.5581395349</v>
      </c>
      <c r="C5" s="172">
        <f>'LEAP Region'!C49*1000000</f>
        <v>906418.60465116287</v>
      </c>
      <c r="D5" s="172">
        <f>'LEAP Region'!D49*1000000</f>
        <v>1424372.0930232559</v>
      </c>
      <c r="E5" s="173">
        <f>'LEAP Region'!E49*1000000</f>
        <v>2088000</v>
      </c>
      <c r="G5" s="271" t="s">
        <v>186</v>
      </c>
      <c r="H5" s="271"/>
      <c r="I5" s="271"/>
      <c r="J5" s="271"/>
      <c r="K5" s="271"/>
      <c r="L5" s="271"/>
      <c r="M5" s="271"/>
      <c r="N5" s="271"/>
    </row>
    <row r="6" spans="2:14" s="126" customFormat="1" ht="45" customHeight="1" x14ac:dyDescent="0.2">
      <c r="B6" s="294">
        <v>400</v>
      </c>
      <c r="C6" s="295"/>
      <c r="D6" s="295"/>
      <c r="E6" s="296"/>
      <c r="G6" s="271" t="s">
        <v>475</v>
      </c>
      <c r="H6" s="271"/>
      <c r="I6" s="271"/>
      <c r="J6" s="271"/>
      <c r="K6" s="271"/>
      <c r="L6" s="271"/>
      <c r="M6" s="271"/>
      <c r="N6" s="271"/>
    </row>
    <row r="7" spans="2:14" s="126" customFormat="1" ht="45" customHeight="1" x14ac:dyDescent="0.2">
      <c r="B7" s="171">
        <f>B5/13/$B$6</f>
        <v>37.352415026833633</v>
      </c>
      <c r="C7" s="172">
        <f>C5/13/$B$6</f>
        <v>174.31127012522364</v>
      </c>
      <c r="D7" s="172">
        <f>D5/13/$B$6</f>
        <v>273.91771019677998</v>
      </c>
      <c r="E7" s="172">
        <f>E5/13/$B$6</f>
        <v>401.53846153846155</v>
      </c>
      <c r="G7" s="271" t="s">
        <v>185</v>
      </c>
      <c r="H7" s="271"/>
      <c r="I7" s="271"/>
      <c r="J7" s="271"/>
      <c r="K7" s="271"/>
      <c r="L7" s="271"/>
      <c r="M7" s="271"/>
      <c r="N7" s="271"/>
    </row>
    <row r="8" spans="2:14" s="126" customFormat="1" ht="45" customHeight="1" x14ac:dyDescent="0.2">
      <c r="B8" s="36">
        <f>'2.Heat Targets'!B31*1.5</f>
        <v>576</v>
      </c>
      <c r="C8" s="36">
        <f>'2.Heat Targets'!C31*1.5</f>
        <v>610.56000000000006</v>
      </c>
      <c r="D8" s="36">
        <f>'2.Heat Targets'!D31*1.5</f>
        <v>647.19360000000006</v>
      </c>
      <c r="E8" s="36">
        <f>'2.Heat Targets'!E31*1.5</f>
        <v>686.02521600000023</v>
      </c>
      <c r="G8" s="271" t="s">
        <v>187</v>
      </c>
      <c r="H8" s="271"/>
      <c r="I8" s="271"/>
      <c r="J8" s="271"/>
      <c r="K8" s="271"/>
      <c r="L8" s="271"/>
      <c r="M8" s="271"/>
      <c r="N8" s="271"/>
    </row>
    <row r="9" spans="2:14" s="126" customFormat="1" ht="45" customHeight="1" x14ac:dyDescent="0.2">
      <c r="B9" s="174">
        <f>B7/B8</f>
        <v>6.4847942754919508E-2</v>
      </c>
      <c r="C9" s="175">
        <f>C7/C8</f>
        <v>0.28549408760027456</v>
      </c>
      <c r="D9" s="175">
        <f>D7/D8</f>
        <v>0.42323921342358756</v>
      </c>
      <c r="E9" s="176">
        <f>E7/E8</f>
        <v>0.58531151942155635</v>
      </c>
      <c r="G9" s="271" t="s">
        <v>188</v>
      </c>
      <c r="H9" s="271"/>
      <c r="I9" s="271"/>
      <c r="J9" s="271"/>
      <c r="K9" s="271"/>
      <c r="L9" s="271"/>
      <c r="M9" s="271"/>
      <c r="N9" s="271"/>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297"/>
      <c r="C17" s="297"/>
      <c r="D17" s="297"/>
      <c r="E17" s="297"/>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opLeftCell="A4" zoomScale="70" zoomScaleNormal="70" workbookViewId="0">
      <selection activeCell="K49" sqref="K49"/>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x14ac:dyDescent="0.25">
      <c r="L15" s="22"/>
    </row>
    <row r="16" spans="1:25" x14ac:dyDescent="0.25">
      <c r="B16" s="21"/>
      <c r="C16" s="21"/>
      <c r="D16" s="21"/>
      <c r="E16" s="21"/>
      <c r="H16" s="21"/>
      <c r="I16" s="21"/>
      <c r="J16" s="21"/>
      <c r="K16" s="21"/>
      <c r="L16" s="22"/>
      <c r="M16" s="301"/>
      <c r="N16" s="301"/>
      <c r="O16" s="301"/>
      <c r="P16" s="301"/>
      <c r="Q16" s="114"/>
      <c r="R16" s="299"/>
    </row>
    <row r="17" spans="1:18" x14ac:dyDescent="0.25">
      <c r="B17" s="21"/>
      <c r="C17" s="21"/>
      <c r="D17" s="21"/>
      <c r="E17" s="21"/>
      <c r="H17" s="21"/>
      <c r="I17" s="21"/>
      <c r="J17" s="21"/>
      <c r="K17" s="30"/>
      <c r="L17" s="22"/>
      <c r="M17" s="301"/>
      <c r="N17" s="301"/>
      <c r="O17" s="301"/>
      <c r="P17" s="301"/>
      <c r="Q17" s="114"/>
      <c r="R17" s="114"/>
    </row>
    <row r="18" spans="1:18" x14ac:dyDescent="0.25">
      <c r="B18" s="21"/>
      <c r="L18" s="22"/>
      <c r="M18" s="114"/>
      <c r="N18" s="114"/>
      <c r="O18" s="114"/>
      <c r="P18" s="114"/>
      <c r="Q18" s="114"/>
      <c r="R18" s="114"/>
    </row>
    <row r="19" spans="1:18" x14ac:dyDescent="0.25">
      <c r="B19" s="21"/>
      <c r="C19" s="21"/>
      <c r="D19" s="21"/>
      <c r="E19" s="21"/>
      <c r="H19" s="21"/>
      <c r="I19" s="21"/>
      <c r="J19" s="21"/>
      <c r="K19" s="21"/>
      <c r="L19" s="22"/>
      <c r="M19" s="114"/>
      <c r="N19" s="302"/>
      <c r="O19" s="302"/>
      <c r="P19" s="302"/>
      <c r="Q19" s="302"/>
      <c r="R19" s="114"/>
    </row>
    <row r="20" spans="1:18" x14ac:dyDescent="0.25">
      <c r="B20" s="21"/>
      <c r="C20" s="21"/>
      <c r="D20" s="21"/>
      <c r="E20" s="21"/>
      <c r="H20" s="23"/>
      <c r="I20" s="23"/>
      <c r="J20" s="23"/>
      <c r="K20" s="23"/>
      <c r="L20" s="22"/>
      <c r="M20" s="301"/>
      <c r="N20" s="302"/>
      <c r="O20" s="302"/>
      <c r="P20" s="302"/>
      <c r="Q20" s="302"/>
      <c r="R20" s="114"/>
    </row>
    <row r="21" spans="1:18" x14ac:dyDescent="0.25">
      <c r="L21" s="22"/>
      <c r="M21" s="301"/>
      <c r="N21" s="302"/>
      <c r="O21" s="302"/>
      <c r="P21" s="302"/>
      <c r="Q21" s="302"/>
      <c r="R21" s="114"/>
    </row>
    <row r="22" spans="1:18" ht="33.75" customHeight="1" x14ac:dyDescent="0.25">
      <c r="A22" s="221" t="s">
        <v>472</v>
      </c>
      <c r="B22" s="222"/>
      <c r="C22" s="222"/>
      <c r="D22" s="222"/>
      <c r="E22" s="223"/>
      <c r="G22" s="221" t="s">
        <v>473</v>
      </c>
      <c r="H22" s="222"/>
      <c r="I22" s="222"/>
      <c r="J22" s="222"/>
      <c r="K22" s="223"/>
      <c r="L22" s="22"/>
      <c r="M22" s="301"/>
      <c r="N22" s="302"/>
      <c r="O22" s="302"/>
      <c r="P22" s="302"/>
      <c r="Q22" s="302"/>
      <c r="R22" s="114"/>
    </row>
    <row r="23" spans="1:18" x14ac:dyDescent="0.25">
      <c r="A23" s="14" t="s">
        <v>0</v>
      </c>
      <c r="B23" s="15">
        <v>2015</v>
      </c>
      <c r="C23" s="15">
        <v>2025</v>
      </c>
      <c r="D23" s="15">
        <v>2035</v>
      </c>
      <c r="E23" s="16">
        <v>2050</v>
      </c>
      <c r="G23" s="14" t="s">
        <v>0</v>
      </c>
      <c r="H23" s="15">
        <v>2015</v>
      </c>
      <c r="I23" s="15">
        <v>2025</v>
      </c>
      <c r="J23" s="15">
        <v>2035</v>
      </c>
      <c r="K23" s="16">
        <v>2050</v>
      </c>
      <c r="M23" s="301"/>
      <c r="N23" s="302"/>
      <c r="O23" s="302"/>
      <c r="P23" s="302"/>
      <c r="Q23" s="302"/>
      <c r="R23" s="114"/>
    </row>
    <row r="24" spans="1:18" x14ac:dyDescent="0.25">
      <c r="A24" s="1" t="s">
        <v>21</v>
      </c>
      <c r="B24" s="4">
        <v>2912</v>
      </c>
      <c r="C24" s="4">
        <v>2370</v>
      </c>
      <c r="D24" s="4">
        <v>2020</v>
      </c>
      <c r="E24" s="5">
        <v>1696</v>
      </c>
      <c r="G24" s="1" t="s">
        <v>21</v>
      </c>
      <c r="H24" s="4">
        <v>2923</v>
      </c>
      <c r="I24" s="4">
        <v>2094</v>
      </c>
      <c r="J24" s="4">
        <v>1166</v>
      </c>
      <c r="K24" s="5">
        <v>91</v>
      </c>
      <c r="M24" s="301"/>
      <c r="N24" s="302"/>
      <c r="O24" s="302"/>
      <c r="P24" s="302"/>
      <c r="Q24" s="302"/>
      <c r="R24" s="114"/>
    </row>
    <row r="25" spans="1:18" x14ac:dyDescent="0.25">
      <c r="A25" s="1" t="s">
        <v>22</v>
      </c>
      <c r="B25" s="4">
        <v>395</v>
      </c>
      <c r="C25" s="4">
        <v>319</v>
      </c>
      <c r="D25" s="4">
        <v>270</v>
      </c>
      <c r="E25" s="5">
        <v>224</v>
      </c>
      <c r="G25" s="1" t="s">
        <v>22</v>
      </c>
      <c r="H25" s="4">
        <v>390</v>
      </c>
      <c r="I25" s="4">
        <v>260</v>
      </c>
      <c r="J25" s="4">
        <v>141</v>
      </c>
      <c r="K25" s="5">
        <v>16</v>
      </c>
      <c r="M25" s="301"/>
      <c r="N25" s="302"/>
      <c r="O25" s="302"/>
      <c r="P25" s="302"/>
      <c r="Q25" s="302"/>
      <c r="R25" s="114"/>
    </row>
    <row r="26" spans="1:18" x14ac:dyDescent="0.25">
      <c r="A26" s="1" t="s">
        <v>23</v>
      </c>
      <c r="B26" s="4">
        <v>3</v>
      </c>
      <c r="C26" s="4">
        <v>9</v>
      </c>
      <c r="D26" s="4">
        <v>14</v>
      </c>
      <c r="E26" s="5">
        <v>21</v>
      </c>
      <c r="G26" s="1" t="s">
        <v>23</v>
      </c>
      <c r="H26" s="4">
        <v>3</v>
      </c>
      <c r="I26" s="4">
        <v>82</v>
      </c>
      <c r="J26" s="4">
        <v>238</v>
      </c>
      <c r="K26" s="5">
        <v>461</v>
      </c>
      <c r="M26" s="301"/>
      <c r="N26" s="302"/>
      <c r="O26" s="302"/>
      <c r="P26" s="302"/>
      <c r="Q26" s="302"/>
      <c r="R26" s="114"/>
    </row>
    <row r="27" spans="1:18" x14ac:dyDescent="0.25">
      <c r="A27" s="1" t="s">
        <v>20</v>
      </c>
      <c r="B27" s="4">
        <v>106</v>
      </c>
      <c r="C27" s="4">
        <v>100</v>
      </c>
      <c r="D27" s="4">
        <v>98</v>
      </c>
      <c r="E27" s="5">
        <v>97</v>
      </c>
      <c r="G27" s="1" t="s">
        <v>20</v>
      </c>
      <c r="H27" s="4">
        <v>98</v>
      </c>
      <c r="I27" s="4">
        <v>61</v>
      </c>
      <c r="J27" s="4">
        <v>33</v>
      </c>
      <c r="K27" s="5">
        <v>1</v>
      </c>
      <c r="M27" s="301"/>
      <c r="N27" s="302"/>
      <c r="O27" s="302"/>
      <c r="P27" s="302"/>
      <c r="Q27" s="302"/>
      <c r="R27" s="114"/>
    </row>
    <row r="28" spans="1:18" x14ac:dyDescent="0.25">
      <c r="A28" s="1" t="s">
        <v>18</v>
      </c>
      <c r="B28" s="4">
        <v>1</v>
      </c>
      <c r="C28" s="4">
        <v>1</v>
      </c>
      <c r="D28" s="4">
        <v>1</v>
      </c>
      <c r="E28" s="5">
        <v>0</v>
      </c>
      <c r="G28" s="1" t="s">
        <v>18</v>
      </c>
      <c r="H28" s="4">
        <v>8</v>
      </c>
      <c r="I28" s="4">
        <v>38</v>
      </c>
      <c r="J28" s="4">
        <v>61</v>
      </c>
      <c r="K28" s="5">
        <v>87</v>
      </c>
      <c r="M28" s="301"/>
      <c r="N28" s="302"/>
      <c r="O28" s="302"/>
      <c r="P28" s="302"/>
      <c r="Q28" s="302"/>
      <c r="R28" s="114"/>
    </row>
    <row r="29" spans="1:18" x14ac:dyDescent="0.25">
      <c r="A29" s="6" t="s">
        <v>24</v>
      </c>
      <c r="B29" s="18">
        <v>0</v>
      </c>
      <c r="C29" s="18">
        <v>0</v>
      </c>
      <c r="D29" s="18">
        <v>0</v>
      </c>
      <c r="E29" s="19">
        <v>0</v>
      </c>
      <c r="G29" s="1" t="s">
        <v>24</v>
      </c>
      <c r="H29" s="4">
        <v>0</v>
      </c>
      <c r="I29" s="4">
        <v>0</v>
      </c>
      <c r="J29" s="4">
        <v>0</v>
      </c>
      <c r="K29" s="5">
        <v>0</v>
      </c>
      <c r="M29" s="301"/>
      <c r="N29" s="303"/>
      <c r="O29" s="303"/>
      <c r="P29" s="303"/>
      <c r="Q29" s="303"/>
      <c r="R29" s="114"/>
    </row>
    <row r="30" spans="1:18"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8"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24" t="s">
        <v>184</v>
      </c>
      <c r="B48" s="17">
        <v>2015</v>
      </c>
      <c r="C48" s="17">
        <v>2025</v>
      </c>
      <c r="D48" s="17">
        <v>2035</v>
      </c>
      <c r="E48" s="17">
        <v>2050</v>
      </c>
      <c r="M48" s="114"/>
      <c r="N48" s="114"/>
      <c r="O48" s="114"/>
      <c r="P48" s="114"/>
      <c r="Q48" s="299"/>
    </row>
    <row r="49" spans="1:17" ht="89.25" customHeight="1" x14ac:dyDescent="0.25">
      <c r="A49" s="224"/>
      <c r="B49" s="214">
        <v>12</v>
      </c>
      <c r="C49" s="213">
        <v>56</v>
      </c>
      <c r="D49" s="213">
        <v>88</v>
      </c>
      <c r="E49" s="213">
        <v>129</v>
      </c>
      <c r="M49" s="114"/>
      <c r="N49" s="114"/>
      <c r="O49" s="114"/>
      <c r="P49" s="114"/>
      <c r="Q49" s="114"/>
    </row>
    <row r="50" spans="1:17" x14ac:dyDescent="0.25">
      <c r="M50" s="114"/>
      <c r="N50" s="114"/>
      <c r="O50" s="114"/>
      <c r="P50" s="114"/>
      <c r="Q50" s="114"/>
    </row>
    <row r="51" spans="1:17" x14ac:dyDescent="0.25">
      <c r="M51" s="114"/>
      <c r="N51" s="114"/>
      <c r="O51" s="114"/>
      <c r="P51" s="114"/>
      <c r="Q51" s="114"/>
    </row>
    <row r="52" spans="1:17" x14ac:dyDescent="0.25">
      <c r="M52" s="114"/>
      <c r="N52" s="114"/>
      <c r="O52" s="114"/>
      <c r="P52" s="114"/>
      <c r="Q52" s="114"/>
    </row>
    <row r="53" spans="1:17" x14ac:dyDescent="0.25">
      <c r="M53" s="114"/>
      <c r="N53" s="114"/>
      <c r="O53" s="114"/>
      <c r="P53" s="114"/>
      <c r="Q53" s="114"/>
    </row>
    <row r="54" spans="1:17" x14ac:dyDescent="0.25">
      <c r="M54" s="114"/>
      <c r="N54" s="114"/>
      <c r="O54" s="114"/>
      <c r="P54" s="114"/>
      <c r="Q54" s="114"/>
    </row>
    <row r="55" spans="1:17" x14ac:dyDescent="0.25">
      <c r="M55" s="114"/>
      <c r="N55" s="114"/>
      <c r="O55" s="114"/>
      <c r="P55" s="114"/>
      <c r="Q55" s="114"/>
    </row>
    <row r="56" spans="1:17" x14ac:dyDescent="0.25">
      <c r="M56" s="114"/>
      <c r="N56" s="114"/>
      <c r="O56" s="114"/>
      <c r="P56" s="114"/>
      <c r="Q56" s="114"/>
    </row>
    <row r="57" spans="1:17" x14ac:dyDescent="0.25">
      <c r="M57" s="114"/>
      <c r="N57" s="114"/>
      <c r="O57" s="114"/>
      <c r="P57" s="114"/>
      <c r="Q57" s="114"/>
    </row>
    <row r="58" spans="1:17" x14ac:dyDescent="0.25">
      <c r="M58" s="114"/>
      <c r="N58" s="114"/>
      <c r="O58" s="114"/>
      <c r="P58" s="114"/>
      <c r="Q58" s="114"/>
    </row>
    <row r="59" spans="1:17" x14ac:dyDescent="0.25">
      <c r="M59" s="114"/>
      <c r="N59" s="114"/>
      <c r="O59" s="114"/>
      <c r="P59" s="114"/>
      <c r="Q59" s="114"/>
    </row>
    <row r="60" spans="1:17" x14ac:dyDescent="0.25">
      <c r="M60" s="114"/>
      <c r="N60" s="114"/>
      <c r="O60" s="114"/>
      <c r="P60" s="114"/>
      <c r="Q60" s="114"/>
    </row>
    <row r="61" spans="1:17" x14ac:dyDescent="0.25">
      <c r="M61" s="114"/>
      <c r="N61" s="114"/>
      <c r="O61" s="114"/>
      <c r="P61" s="114"/>
      <c r="Q61" s="300"/>
    </row>
    <row r="62" spans="1:17" x14ac:dyDescent="0.25">
      <c r="M62" s="114"/>
      <c r="N62" s="114"/>
      <c r="O62" s="114"/>
      <c r="P62" s="114"/>
      <c r="Q62" s="114"/>
    </row>
    <row r="63" spans="1:17" x14ac:dyDescent="0.25">
      <c r="M63" s="114"/>
      <c r="N63" s="114"/>
      <c r="O63" s="114"/>
      <c r="P63" s="114"/>
      <c r="Q63" s="114"/>
    </row>
    <row r="64" spans="1:17" x14ac:dyDescent="0.25">
      <c r="M64" s="114"/>
      <c r="N64" s="114"/>
      <c r="O64" s="114"/>
      <c r="P64" s="114"/>
      <c r="Q64" s="114"/>
    </row>
    <row r="65" spans="13:17" x14ac:dyDescent="0.25">
      <c r="M65" s="114"/>
      <c r="N65" s="114"/>
      <c r="O65" s="114"/>
      <c r="P65" s="114"/>
      <c r="Q65" s="114"/>
    </row>
    <row r="66" spans="13:17" x14ac:dyDescent="0.25">
      <c r="M66" s="114"/>
      <c r="N66" s="114"/>
      <c r="O66" s="114"/>
      <c r="P66" s="114"/>
      <c r="Q66" s="114"/>
    </row>
    <row r="67" spans="13:17" x14ac:dyDescent="0.25">
      <c r="M67" s="114"/>
      <c r="N67" s="114"/>
      <c r="O67" s="114"/>
      <c r="P67" s="114"/>
      <c r="Q67" s="114"/>
    </row>
    <row r="68" spans="13:17" x14ac:dyDescent="0.25">
      <c r="M68" s="114"/>
      <c r="N68" s="114"/>
      <c r="O68" s="114"/>
      <c r="P68" s="114"/>
      <c r="Q68" s="114"/>
    </row>
    <row r="69" spans="13:17" x14ac:dyDescent="0.25">
      <c r="M69" s="114"/>
      <c r="N69" s="114"/>
      <c r="O69" s="114"/>
      <c r="P69" s="114"/>
      <c r="Q69" s="114"/>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21" t="s">
        <v>25</v>
      </c>
      <c r="B2" s="222"/>
      <c r="C2" s="222"/>
      <c r="D2" s="222"/>
      <c r="E2" s="223"/>
      <c r="G2" s="221" t="s">
        <v>30</v>
      </c>
      <c r="H2" s="222"/>
      <c r="I2" s="222"/>
      <c r="J2" s="222"/>
      <c r="K2" s="223"/>
      <c r="M2" s="221" t="s">
        <v>31</v>
      </c>
      <c r="N2" s="222"/>
      <c r="O2" s="222"/>
      <c r="P2" s="222"/>
      <c r="Q2" s="223"/>
      <c r="R2" s="10"/>
      <c r="S2" s="221" t="s">
        <v>32</v>
      </c>
      <c r="T2" s="222"/>
      <c r="U2" s="222"/>
      <c r="V2" s="222"/>
      <c r="W2" s="22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21" t="s">
        <v>198</v>
      </c>
      <c r="B22" s="222"/>
      <c r="C22" s="222"/>
      <c r="D22" s="222"/>
      <c r="E22" s="223"/>
      <c r="G22" s="221" t="s">
        <v>199</v>
      </c>
      <c r="H22" s="222"/>
      <c r="I22" s="222"/>
      <c r="J22" s="222"/>
      <c r="K22" s="223"/>
      <c r="L22" s="22"/>
      <c r="M22" s="221" t="s">
        <v>35</v>
      </c>
      <c r="N22" s="222"/>
      <c r="O22" s="222"/>
      <c r="P22" s="222"/>
      <c r="Q22" s="223"/>
      <c r="S22" s="221" t="s">
        <v>36</v>
      </c>
      <c r="T22" s="222"/>
      <c r="U22" s="222"/>
      <c r="V22" s="222"/>
      <c r="W22" s="22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24" t="s">
        <v>184</v>
      </c>
      <c r="B48" s="17">
        <v>2015</v>
      </c>
      <c r="C48" s="17">
        <v>2025</v>
      </c>
      <c r="D48" s="17">
        <v>2035</v>
      </c>
      <c r="E48" s="17">
        <v>2050</v>
      </c>
    </row>
    <row r="49" spans="1:5" ht="74.25" customHeight="1" x14ac:dyDescent="0.25">
      <c r="A49" s="224"/>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2017-05-02T17:53:11Z</dcterms:modified>
</cp:coreProperties>
</file>