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Waterford\"/>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G17" i="201"/>
  <c r="D17" i="201"/>
  <c r="D16" i="201"/>
  <c r="D15" i="201"/>
  <c r="G15" i="201" s="1"/>
  <c r="G14" i="201"/>
  <c r="D14" i="201"/>
  <c r="D13" i="201"/>
  <c r="G13" i="201" s="1"/>
  <c r="D12" i="201"/>
  <c r="D11" i="201"/>
  <c r="G11" i="201" s="1"/>
  <c r="D10" i="201"/>
  <c r="G10" i="201" s="1"/>
  <c r="G9" i="201"/>
  <c r="D9" i="201"/>
  <c r="D8" i="201"/>
  <c r="E5" i="201"/>
  <c r="E4" i="201"/>
  <c r="D3" i="201"/>
  <c r="C3" i="201"/>
  <c r="B3" i="201"/>
  <c r="E26" i="201" l="1"/>
  <c r="H26" i="201" s="1"/>
  <c r="E10" i="201"/>
  <c r="H10" i="201" s="1"/>
  <c r="E3" i="201"/>
  <c r="E17" i="201" s="1"/>
  <c r="G8" i="201"/>
  <c r="E8" i="201"/>
  <c r="E56" i="201"/>
  <c r="E54" i="201"/>
  <c r="H54" i="201" s="1"/>
  <c r="E52" i="201"/>
  <c r="H52" i="201" s="1"/>
  <c r="E48" i="201"/>
  <c r="H48" i="201" s="1"/>
  <c r="E46" i="201"/>
  <c r="E44" i="201"/>
  <c r="H44" i="201" s="1"/>
  <c r="E13" i="201"/>
  <c r="H13" i="201" s="1"/>
  <c r="G20" i="201"/>
  <c r="E20" i="201"/>
  <c r="E22" i="201"/>
  <c r="E24" i="201"/>
  <c r="H24" i="201" s="1"/>
  <c r="E32" i="201"/>
  <c r="E40" i="201"/>
  <c r="E9" i="201"/>
  <c r="H9" i="201" s="1"/>
  <c r="G16" i="201"/>
  <c r="H16" i="201" s="1"/>
  <c r="E16" i="201"/>
  <c r="E18" i="201"/>
  <c r="H18" i="201" s="1"/>
  <c r="H22" i="201"/>
  <c r="E30" i="201"/>
  <c r="E38" i="201"/>
  <c r="G12" i="201"/>
  <c r="E12" i="201"/>
  <c r="E14" i="201"/>
  <c r="H14" i="201" s="1"/>
  <c r="E21" i="201"/>
  <c r="E28" i="201"/>
  <c r="H28" i="201" s="1"/>
  <c r="E36" i="201"/>
  <c r="H36" i="201" s="1"/>
  <c r="H17" i="201"/>
  <c r="H21" i="201"/>
  <c r="H27" i="201"/>
  <c r="H37" i="201"/>
  <c r="H43" i="201"/>
  <c r="H53" i="201"/>
  <c r="E11" i="201"/>
  <c r="H11" i="201" s="1"/>
  <c r="E15" i="201"/>
  <c r="H15" i="201" s="1"/>
  <c r="E19" i="201"/>
  <c r="H19" i="201" s="1"/>
  <c r="E23" i="201"/>
  <c r="H23" i="201" s="1"/>
  <c r="E25" i="201"/>
  <c r="H25" i="201" s="1"/>
  <c r="E27" i="201"/>
  <c r="E29" i="201"/>
  <c r="H29" i="201" s="1"/>
  <c r="E31" i="201"/>
  <c r="H31" i="201" s="1"/>
  <c r="E33" i="201"/>
  <c r="H33" i="201" s="1"/>
  <c r="E35" i="201"/>
  <c r="H35" i="201" s="1"/>
  <c r="E37" i="201"/>
  <c r="E39" i="201"/>
  <c r="H39" i="201" s="1"/>
  <c r="E41" i="201"/>
  <c r="H41" i="201" s="1"/>
  <c r="E43" i="201"/>
  <c r="E45" i="201"/>
  <c r="H45" i="201" s="1"/>
  <c r="E47" i="201"/>
  <c r="H47" i="201" s="1"/>
  <c r="E49" i="201"/>
  <c r="H49" i="201" s="1"/>
  <c r="E51" i="201"/>
  <c r="H51" i="201" s="1"/>
  <c r="E53" i="201"/>
  <c r="E55" i="201"/>
  <c r="H55" i="201" s="1"/>
  <c r="E57" i="201"/>
  <c r="H57" i="201" s="1"/>
  <c r="H30" i="201"/>
  <c r="H32" i="201"/>
  <c r="H38" i="201"/>
  <c r="H40" i="201"/>
  <c r="H46" i="201"/>
  <c r="H56" i="201"/>
  <c r="H20" i="201" l="1"/>
  <c r="E42" i="201"/>
  <c r="H42" i="201" s="1"/>
  <c r="E50" i="201"/>
  <c r="H50" i="201" s="1"/>
  <c r="E34" i="201"/>
  <c r="H34" i="201" s="1"/>
  <c r="H12" i="20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88" i="197"/>
  <c r="T96" i="197"/>
  <c r="AE120" i="197"/>
  <c r="AA124" i="197"/>
  <c r="AB140" i="197"/>
  <c r="W144" i="197"/>
  <c r="AA145" i="197"/>
  <c r="AE152" i="197"/>
  <c r="AA156" i="197"/>
  <c r="AB168" i="197"/>
  <c r="AB172" i="197"/>
  <c r="T180" i="197"/>
  <c r="AE180" i="197"/>
  <c r="AD181" i="197"/>
  <c r="V188" i="197"/>
  <c r="AD188" i="197"/>
  <c r="AD196" i="197"/>
  <c r="Y200" i="197"/>
  <c r="Y208" i="197"/>
  <c r="V212" i="197"/>
  <c r="V220" i="197"/>
  <c r="AD220" i="197"/>
  <c r="AD228" i="197"/>
  <c r="Y232" i="197"/>
  <c r="AD236" i="197"/>
  <c r="X237" i="197"/>
  <c r="V244" i="197"/>
  <c r="AB244" i="197"/>
  <c r="U245" i="197"/>
  <c r="AC248" i="197"/>
  <c r="R12" i="197"/>
  <c r="R60" i="197"/>
  <c r="R76"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X128" i="197"/>
  <c r="AB112"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4" i="197" l="1"/>
  <c r="AH155" i="197" s="1"/>
  <c r="AK8" i="197"/>
  <c r="AH23" i="197" s="1"/>
  <c r="AH108" i="197"/>
  <c r="AH60" i="197"/>
  <c r="AH168" i="197"/>
  <c r="AH7" i="197"/>
  <c r="AH148" i="197"/>
  <c r="AH179"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35" i="186"/>
  <c r="F29" i="186"/>
  <c r="F28" i="186"/>
  <c r="E41" i="186"/>
  <c r="F38" i="186" s="1"/>
  <c r="AH205" i="197" l="1"/>
  <c r="AH42" i="197"/>
  <c r="AH85" i="197"/>
  <c r="AH86" i="197"/>
  <c r="AH58" i="197"/>
  <c r="AH52" i="197"/>
  <c r="AH82" i="197"/>
  <c r="AH230" i="197"/>
  <c r="AH45" i="197"/>
  <c r="AH31" i="197"/>
  <c r="AH16" i="197"/>
  <c r="AH234" i="197"/>
  <c r="AH138" i="197"/>
  <c r="AH211" i="197"/>
  <c r="AH116" i="197"/>
  <c r="AH133" i="197"/>
  <c r="AH55" i="197"/>
  <c r="AH104" i="197"/>
  <c r="AH114" i="197"/>
  <c r="AH107" i="197"/>
  <c r="AH198" i="197"/>
  <c r="AH117" i="197"/>
  <c r="AH18" i="197"/>
  <c r="AH246" i="197"/>
  <c r="AH175" i="197"/>
  <c r="AH96" i="197"/>
  <c r="AH115" i="197"/>
  <c r="AH36" i="197"/>
  <c r="AH213" i="197"/>
  <c r="AH199" i="197"/>
  <c r="AH137" i="197"/>
  <c r="AH59" i="197"/>
  <c r="AH220" i="197"/>
  <c r="AH191" i="197"/>
  <c r="AH112" i="197"/>
  <c r="AH147" i="197"/>
  <c r="AH101" i="197"/>
  <c r="AH56" i="197"/>
  <c r="AH91" i="197"/>
  <c r="F32" i="186"/>
  <c r="F39" i="186"/>
  <c r="F27" i="186"/>
  <c r="F33" i="186"/>
  <c r="F40" i="186"/>
  <c r="AH141" i="197"/>
  <c r="AH79" i="197"/>
  <c r="AH64" i="197"/>
  <c r="AH129" i="197"/>
  <c r="AH35" i="197"/>
  <c r="AH4" i="197"/>
  <c r="AH37" i="197"/>
  <c r="AH181" i="197"/>
  <c r="AH87" i="197"/>
  <c r="AH9" i="197"/>
  <c r="AH226" i="197"/>
  <c r="AH171" i="197"/>
  <c r="AH177" i="197"/>
  <c r="AH190" i="197"/>
  <c r="AH13"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l="1"/>
  <c r="V7" i="199"/>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82" i="194" l="1"/>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9" i="199" s="1"/>
  <c r="B10" i="199"/>
  <c r="B8" i="199"/>
  <c r="B6" i="199"/>
  <c r="B4" i="199"/>
  <c r="E12" i="199"/>
  <c r="E10" i="199"/>
  <c r="E8" i="199"/>
  <c r="E6" i="199"/>
  <c r="E4" i="199"/>
  <c r="D12" i="199"/>
  <c r="D10" i="199"/>
  <c r="D8" i="199"/>
  <c r="D6" i="199"/>
  <c r="D4" i="199"/>
  <c r="J4" i="199" l="1"/>
  <c r="J6" i="199"/>
  <c r="J8" i="199"/>
  <c r="J10" i="199"/>
  <c r="J12" i="199"/>
  <c r="K4" i="199"/>
  <c r="K6" i="199"/>
  <c r="K8" i="199"/>
  <c r="K10" i="199"/>
  <c r="K12" i="199"/>
  <c r="H4" i="199"/>
  <c r="H14" i="199" s="1"/>
  <c r="B26" i="188" s="1"/>
  <c r="H6" i="199"/>
  <c r="H8" i="199"/>
  <c r="H10" i="199"/>
  <c r="H12" i="199"/>
  <c r="I4" i="199"/>
  <c r="I6" i="199"/>
  <c r="I8" i="199"/>
  <c r="I10" i="199"/>
  <c r="C65" i="188" s="1"/>
  <c r="I12" i="199"/>
  <c r="E27" i="199"/>
  <c r="B28" i="199"/>
  <c r="E28" i="199"/>
  <c r="D28" i="199"/>
  <c r="D24" i="199"/>
  <c r="C29" i="199"/>
  <c r="C25" i="199"/>
  <c r="H26" i="199"/>
  <c r="B18" i="189" s="1"/>
  <c r="B24" i="199"/>
  <c r="I27" i="199"/>
  <c r="J25" i="199"/>
  <c r="D23" i="189" s="1"/>
  <c r="J29" i="199"/>
  <c r="K27" i="199"/>
  <c r="B12" i="199"/>
  <c r="C4" i="199"/>
  <c r="C14" i="199" s="1"/>
  <c r="C24" i="188" s="1"/>
  <c r="C6" i="199"/>
  <c r="C8" i="199"/>
  <c r="C10" i="199"/>
  <c r="C12" i="199"/>
  <c r="B49" i="199"/>
  <c r="B5" i="190" s="1"/>
  <c r="B7" i="190" s="1"/>
  <c r="B29" i="199"/>
  <c r="B25" i="199"/>
  <c r="D29" i="199"/>
  <c r="D25" i="199"/>
  <c r="D49" i="199"/>
  <c r="D5" i="190" s="1"/>
  <c r="D7" i="190" s="1"/>
  <c r="C26" i="199"/>
  <c r="H25" i="199"/>
  <c r="B23" i="189" s="1"/>
  <c r="H29" i="199"/>
  <c r="I26" i="199"/>
  <c r="C18" i="189" s="1"/>
  <c r="J24" i="199"/>
  <c r="J28" i="199"/>
  <c r="K26" i="199"/>
  <c r="E18" i="189" s="1"/>
  <c r="D5" i="199"/>
  <c r="D7" i="199"/>
  <c r="D9" i="199"/>
  <c r="D11" i="199"/>
  <c r="D13" i="199"/>
  <c r="E5" i="199"/>
  <c r="E7" i="199"/>
  <c r="E14" i="199" s="1"/>
  <c r="E24" i="188" s="1"/>
  <c r="E9" i="199"/>
  <c r="E11" i="199"/>
  <c r="E13" i="199"/>
  <c r="B5" i="199"/>
  <c r="B14" i="199" s="1"/>
  <c r="B24" i="188" s="1"/>
  <c r="B7" i="199"/>
  <c r="B9" i="199"/>
  <c r="B11" i="199"/>
  <c r="B13" i="199"/>
  <c r="C5" i="199"/>
  <c r="C7" i="199"/>
  <c r="C9" i="199"/>
  <c r="C11" i="199"/>
  <c r="C13" i="199"/>
  <c r="E24" i="199"/>
  <c r="B27" i="199"/>
  <c r="E26" i="199"/>
  <c r="E30" i="199" s="1"/>
  <c r="D27" i="199"/>
  <c r="E29" i="199"/>
  <c r="C28" i="199"/>
  <c r="C24" i="199"/>
  <c r="C30" i="199" s="1"/>
  <c r="H27" i="199"/>
  <c r="I24" i="199"/>
  <c r="I28" i="199"/>
  <c r="J26" i="199"/>
  <c r="D18" i="189" s="1"/>
  <c r="K24" i="199"/>
  <c r="K28" i="199"/>
  <c r="J5" i="199"/>
  <c r="J7" i="199"/>
  <c r="D27" i="188" s="1"/>
  <c r="J9" i="199"/>
  <c r="J11" i="199"/>
  <c r="J13" i="199"/>
  <c r="K5" i="199"/>
  <c r="K7" i="199"/>
  <c r="K9" i="199"/>
  <c r="K11" i="199"/>
  <c r="K13" i="199"/>
  <c r="H5" i="199"/>
  <c r="H7" i="199"/>
  <c r="H9" i="199"/>
  <c r="H11" i="199"/>
  <c r="B65" i="188" s="1"/>
  <c r="H13" i="199"/>
  <c r="I5" i="199"/>
  <c r="I7" i="199"/>
  <c r="I9" i="199"/>
  <c r="I14" i="199" s="1"/>
  <c r="C26" i="188" s="1"/>
  <c r="I11" i="199"/>
  <c r="I13" i="199"/>
  <c r="E49" i="199"/>
  <c r="E5" i="190" s="1"/>
  <c r="E7" i="190" s="1"/>
  <c r="B26" i="199"/>
  <c r="B30" i="199" s="1"/>
  <c r="C49" i="199"/>
  <c r="C5" i="190" s="1"/>
  <c r="C7" i="190" s="1"/>
  <c r="D26" i="199"/>
  <c r="E25" i="199"/>
  <c r="C27" i="199"/>
  <c r="H24" i="199"/>
  <c r="H28" i="199"/>
  <c r="I25" i="199"/>
  <c r="I29" i="199"/>
  <c r="I30" i="199" s="1"/>
  <c r="J27" i="199"/>
  <c r="K25" i="199"/>
  <c r="B55" i="188"/>
  <c r="B56" i="188" s="1"/>
  <c r="D25" i="188"/>
  <c r="E25" i="188"/>
  <c r="B25" i="188"/>
  <c r="C25" i="188"/>
  <c r="C55" i="188"/>
  <c r="C56" i="188" s="1"/>
  <c r="E62" i="188"/>
  <c r="E27" i="188"/>
  <c r="B62" i="188"/>
  <c r="B27" i="188"/>
  <c r="C62" i="188"/>
  <c r="C27" i="188"/>
  <c r="C23" i="189"/>
  <c r="E23" i="189"/>
  <c r="D55" i="188"/>
  <c r="D56" i="188" s="1"/>
  <c r="D65" i="188"/>
  <c r="K14" i="199"/>
  <c r="E26" i="188" s="1"/>
  <c r="E55" i="188"/>
  <c r="E56" i="188" s="1"/>
  <c r="E65" i="188"/>
  <c r="K30" i="199"/>
  <c r="D14" i="199"/>
  <c r="D24" i="188" s="1"/>
  <c r="D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H30" i="199" l="1"/>
  <c r="D62" i="188"/>
  <c r="B59" i="188"/>
  <c r="E59" i="188"/>
  <c r="J30" i="199"/>
  <c r="J14" i="199"/>
  <c r="D26" i="188" s="1"/>
  <c r="D59" i="188"/>
  <c r="C59" i="188"/>
  <c r="B24" i="189"/>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C26" i="189" s="1"/>
  <c r="K34" i="193"/>
  <c r="D63" i="188"/>
  <c r="K43" i="193" s="1"/>
  <c r="C63" i="188"/>
  <c r="J43" i="193" s="1"/>
  <c r="J34" i="193"/>
  <c r="D57" i="188"/>
  <c r="C57" i="188"/>
  <c r="D66" i="188"/>
  <c r="D60" i="188"/>
  <c r="L27" i="193"/>
  <c r="E32" i="188"/>
  <c r="C66" i="188"/>
  <c r="C60" i="188"/>
  <c r="D25" i="189" l="1"/>
  <c r="D26" i="189" s="1"/>
  <c r="C27" i="189"/>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7" i="189" l="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<sst xmlns="http://schemas.openxmlformats.org/spreadsheetml/2006/main" count="1627" uniqueCount="563">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</sst>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4">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7"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xf numFmtId="164" fontId="0" fillId="0" borderId="0" xfId="2" applyNumberFormat="1" applyFont="1" applyFill="1" applyBorder="1"/>
    <xf numFmtId="164" fontId="1" fillId="0" borderId="0" xfId="2" applyNumberFormat="1" applyFont="1" applyFill="1" applyBorder="1"/>
    <xf numFmtId="3" fontId="0" fillId="0" borderId="0" xfId="0" applyNumberFormat="1" applyFill="1" applyBorder="1"/>
    <xf numFmtId="1" fontId="0" fillId="0" borderId="0" xfId="0" applyNumberFormat="1" applyFill="1" applyBorder="1"/>
    <xf numFmtId="167" fontId="0" fillId="0" borderId="0" xfId="1" applyNumberFormat="1" applyFont="1" applyFill="1" applyBorder="1"/>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21" t="s">
        <v>33</v>
      </c>
      <c r="B22" s="222"/>
      <c r="C22" s="222"/>
      <c r="D22" s="222"/>
      <c r="E22" s="223"/>
      <c r="G22" s="221" t="s">
        <v>34</v>
      </c>
      <c r="H22" s="222"/>
      <c r="I22" s="222"/>
      <c r="J22" s="222"/>
      <c r="K22" s="223"/>
      <c r="M22" s="225" t="s">
        <v>35</v>
      </c>
      <c r="N22" s="226"/>
      <c r="O22" s="226"/>
      <c r="P22" s="226"/>
      <c r="Q22" s="227"/>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24" t="s">
        <v>42</v>
      </c>
      <c r="B48" s="17">
        <v>2015</v>
      </c>
      <c r="C48" s="17">
        <v>2025</v>
      </c>
      <c r="D48" s="17">
        <v>2035</v>
      </c>
      <c r="E48" s="17">
        <v>2050</v>
      </c>
    </row>
    <row r="49" spans="1:5" ht="74.25" customHeight="1" x14ac:dyDescent="0.25">
      <c r="A49" s="22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0.20444218801388345</v>
      </c>
      <c r="I4" s="4">
        <f>res_share_state_target*'LEAP Statewide'!I4</f>
        <v>1.2361620670606905</v>
      </c>
      <c r="J4" s="4">
        <f>res_share_state_target*'LEAP Statewide'!J4</f>
        <v>2.3320672842048795</v>
      </c>
      <c r="K4" s="5">
        <f>res_share_state_target*'LEAP Statewide'!K4</f>
        <v>4.293285948291552</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3.012201229998623E-2</v>
      </c>
      <c r="U4" s="4">
        <f ca="1">com_share_state_target*'LEAP Statewide'!U4</f>
        <v>0.18833568855525371</v>
      </c>
      <c r="V4" s="4">
        <f ca="1">com_share_state_target*'LEAP Statewide'!V4</f>
        <v>0.35334875108211999</v>
      </c>
      <c r="W4" s="5">
        <f ca="1">com_share_state_target*'LEAP Statewide'!W4</f>
        <v>0.62832178084000401</v>
      </c>
      <c r="Y4" s="23"/>
    </row>
    <row r="5" spans="1:25" x14ac:dyDescent="0.25">
      <c r="A5" s="1" t="s">
        <v>3</v>
      </c>
      <c r="B5" s="4">
        <f>res_share_state_target*'LEAP Statewide'!B5</f>
        <v>18.017062127409567</v>
      </c>
      <c r="C5" s="4">
        <f>res_share_state_target*'LEAP Statewide'!C5</f>
        <v>16.59785298503412</v>
      </c>
      <c r="D5" s="4">
        <f>res_share_state_target*'LEAP Statewide'!D5</f>
        <v>15.44489413402559</v>
      </c>
      <c r="E5" s="5">
        <f>res_share_state_target*'LEAP Statewide'!E5</f>
        <v>13.987649235740584</v>
      </c>
      <c r="G5" s="1" t="s">
        <v>3</v>
      </c>
      <c r="H5" s="4">
        <f>res_share_state_target*'LEAP Statewide'!H5</f>
        <v>18.071738526529558</v>
      </c>
      <c r="I5" s="4">
        <f>res_share_state_target*'LEAP Statewide'!I5</f>
        <v>16.963947135663631</v>
      </c>
      <c r="J5" s="4">
        <f>res_share_state_target*'LEAP Statewide'!J5</f>
        <v>15.837137866842925</v>
      </c>
      <c r="K5" s="5">
        <f>res_share_state_target*'LEAP Statewide'!K5</f>
        <v>15.081177218140425</v>
      </c>
      <c r="L5" s="21"/>
      <c r="M5" s="1" t="s">
        <v>14</v>
      </c>
      <c r="N5" s="4">
        <f ca="1">com_share_state_target*'LEAP Statewide'!N5</f>
        <v>2.8323464963627827</v>
      </c>
      <c r="O5" s="4">
        <f ca="1">com_share_state_target*'LEAP Statewide'!O5</f>
        <v>2.288395594634876</v>
      </c>
      <c r="P5" s="4">
        <f ca="1">com_share_state_target*'LEAP Statewide'!P5</f>
        <v>1.6618284941230266</v>
      </c>
      <c r="Q5" s="5">
        <f ca="1">com_share_state_target*'LEAP Statewide'!Q5</f>
        <v>0.67847639355308786</v>
      </c>
      <c r="R5" s="2"/>
      <c r="S5" s="1" t="s">
        <v>14</v>
      </c>
      <c r="T5" s="4">
        <f ca="1">com_share_state_target*'LEAP Statewide'!T5</f>
        <v>2.8012740322183793</v>
      </c>
      <c r="U5" s="4">
        <f ca="1">com_share_state_target*'LEAP Statewide'!U5</f>
        <v>2.0953076468575373</v>
      </c>
      <c r="V5" s="4">
        <f ca="1">com_share_state_target*'LEAP Statewide'!V5</f>
        <v>1.2994138946787748</v>
      </c>
      <c r="W5" s="5">
        <f ca="1">com_share_state_target*'LEAP Statewide'!W5</f>
        <v>3.3923819677654392E-2</v>
      </c>
      <c r="Y5" s="92"/>
    </row>
    <row r="6" spans="1:25" x14ac:dyDescent="0.25">
      <c r="A6" s="1" t="s">
        <v>4</v>
      </c>
      <c r="B6" s="4">
        <f>res_share_state_target*'LEAP Statewide'!B6</f>
        <v>2.7338199559996039</v>
      </c>
      <c r="C6" s="4">
        <f>res_share_state_target*'LEAP Statewide'!C6</f>
        <v>2.215582781731853</v>
      </c>
      <c r="D6" s="4">
        <f>res_share_state_target*'LEAP Statewide'!D6</f>
        <v>1.5095440626606509</v>
      </c>
      <c r="E6" s="5">
        <f>res_share_state_target*'LEAP Statewide'!E6</f>
        <v>0.59668592083121796</v>
      </c>
      <c r="G6" s="1" t="s">
        <v>4</v>
      </c>
      <c r="H6" s="4">
        <f>res_share_state_target*'LEAP Statewide'!H6</f>
        <v>2.7504605992100366</v>
      </c>
      <c r="I6" s="4">
        <f>res_share_state_target*'LEAP Statewide'!I6</f>
        <v>2.2583730071301078</v>
      </c>
      <c r="J6" s="4">
        <f>res_share_state_target*'LEAP Statewide'!J6</f>
        <v>1.3146108136241574</v>
      </c>
      <c r="K6" s="5">
        <f>res_share_state_target*'LEAP Statewide'!K6</f>
        <v>0.42552501923819924</v>
      </c>
      <c r="L6" s="21"/>
      <c r="M6" s="1" t="s">
        <v>15</v>
      </c>
      <c r="N6" s="89">
        <f ca="1">com_share_state_target*'LEAP Statewide'!N6</f>
        <v>5.2040894065849992</v>
      </c>
      <c r="O6" s="89">
        <f ca="1">com_share_state_target*'LEAP Statewide'!O6</f>
        <v>5.2581920500364312</v>
      </c>
      <c r="P6" s="89">
        <f ca="1">com_share_state_target*'LEAP Statewide'!P6</f>
        <v>5.2092072242087832</v>
      </c>
      <c r="Q6" s="90">
        <f ca="1">com_share_state_target*'LEAP Statewide'!Q6</f>
        <v>5.2333340787209082</v>
      </c>
      <c r="R6" s="4"/>
      <c r="S6" s="1" t="s">
        <v>15</v>
      </c>
      <c r="T6" s="89">
        <f ca="1">com_share_state_target*'LEAP Statewide'!T6</f>
        <v>5.2040162949046591</v>
      </c>
      <c r="U6" s="89">
        <f ca="1">com_share_state_target*'LEAP Statewide'!U6</f>
        <v>5.257972714995411</v>
      </c>
      <c r="V6" s="89">
        <f ca="1">com_share_state_target*'LEAP Statewide'!V6</f>
        <v>5.2089147774874247</v>
      </c>
      <c r="W6" s="90">
        <f ca="1">com_share_state_target*'LEAP Statewide'!W6</f>
        <v>5.2336265254422667</v>
      </c>
      <c r="Y6" s="92"/>
    </row>
    <row r="7" spans="1:25" x14ac:dyDescent="0.25">
      <c r="A7" s="1" t="s">
        <v>5</v>
      </c>
      <c r="B7" s="4">
        <f>res_share_state_target*'LEAP Statewide'!B7</f>
        <v>0.27575923034430788</v>
      </c>
      <c r="C7" s="4">
        <f>res_share_state_target*'LEAP Statewide'!C7</f>
        <v>1.5523342880589057</v>
      </c>
      <c r="D7" s="4">
        <f>res_share_state_target*'LEAP Statewide'!D7</f>
        <v>2.9263759702917502</v>
      </c>
      <c r="E7" s="5">
        <f>res_share_state_target*'LEAP Statewide'!E7</f>
        <v>4.0365445959020239</v>
      </c>
      <c r="G7" s="1" t="s">
        <v>5</v>
      </c>
      <c r="H7" s="4">
        <f>res_share_state_target*'LEAP Statewide'!H7</f>
        <v>0.48257865310253883</v>
      </c>
      <c r="I7" s="4">
        <f>res_share_state_target*'LEAP Statewide'!I7</f>
        <v>2.702915904323087</v>
      </c>
      <c r="J7" s="4">
        <f>res_share_state_target*'LEAP Statewide'!J7</f>
        <v>5.2204074985870701</v>
      </c>
      <c r="K7" s="5">
        <f>res_share_state_target*'LEAP Statewide'!K7</f>
        <v>7.1911351016511329</v>
      </c>
      <c r="M7" s="1" t="s">
        <v>8</v>
      </c>
      <c r="N7" s="4">
        <f ca="1">com_share_state_target*'LEAP Statewide'!N7</f>
        <v>2.1180453794432061</v>
      </c>
      <c r="O7" s="4">
        <f ca="1">com_share_state_target*'LEAP Statewide'!O7</f>
        <v>2.1750724901082288</v>
      </c>
      <c r="P7" s="4">
        <f ca="1">com_share_state_target*'LEAP Statewide'!P7</f>
        <v>2.1911570597829786</v>
      </c>
      <c r="Q7" s="5">
        <f ca="1">com_share_state_target*'LEAP Statewide'!Q7</f>
        <v>2.2620753897125581</v>
      </c>
      <c r="R7" s="4"/>
      <c r="S7" s="1" t="s">
        <v>8</v>
      </c>
      <c r="T7" s="4">
        <f ca="1">com_share_state_target*'LEAP Statewide'!T7</f>
        <v>2.0581669132449325</v>
      </c>
      <c r="U7" s="4">
        <f ca="1">com_share_state_target*'LEAP Statewide'!U7</f>
        <v>1.7983280013173815</v>
      </c>
      <c r="V7" s="4">
        <f ca="1">com_share_state_target*'LEAP Statewide'!V7</f>
        <v>1.4846057809794182</v>
      </c>
      <c r="W7" s="5">
        <f ca="1">com_share_state_target*'LEAP Statewide'!W7</f>
        <v>1.0052856046718706</v>
      </c>
      <c r="Y7" s="92"/>
    </row>
    <row r="8" spans="1:25" x14ac:dyDescent="0.25">
      <c r="A8" s="1" t="s">
        <v>6</v>
      </c>
      <c r="B8" s="4">
        <f>res_share_state_target*'LEAP Statewide'!B8</f>
        <v>3.0904051676517264E-2</v>
      </c>
      <c r="C8" s="4">
        <f>res_share_state_target*'LEAP Statewide'!C8</f>
        <v>0.22821453545735826</v>
      </c>
      <c r="D8" s="4">
        <f>res_share_state_target*'LEAP Statewide'!D8</f>
        <v>0.77735576140162654</v>
      </c>
      <c r="E8" s="5">
        <f>res_share_state_target*'LEAP Statewide'!E8</f>
        <v>1.6141423914119402</v>
      </c>
      <c r="G8" s="1" t="s">
        <v>6</v>
      </c>
      <c r="H8" s="4">
        <f>res_share_state_target*'LEAP Statewide'!H8</f>
        <v>0.13312514568345898</v>
      </c>
      <c r="I8" s="4">
        <f>res_share_state_target*'LEAP Statewide'!I8</f>
        <v>0.8272776910329237</v>
      </c>
      <c r="J8" s="4">
        <f>res_share_state_target*'LEAP Statewide'!J8</f>
        <v>1.7995667014710437</v>
      </c>
      <c r="K8" s="5">
        <f>res_share_state_target*'LEAP Statewide'!K8</f>
        <v>2.9858068389004373</v>
      </c>
      <c r="M8" s="1" t="s">
        <v>9</v>
      </c>
      <c r="N8" s="4">
        <f ca="1">com_share_state_target*'LEAP Statewide'!N8</f>
        <v>2.0405469982830478</v>
      </c>
      <c r="O8" s="4">
        <f ca="1">com_share_state_target*'LEAP Statewide'!O8</f>
        <v>2.4784859635182843</v>
      </c>
      <c r="P8" s="4">
        <f ca="1">com_share_state_target*'LEAP Statewide'!P8</f>
        <v>2.8959536582583847</v>
      </c>
      <c r="Q8" s="5">
        <f ca="1">com_share_state_target*'LEAP Statewide'!Q8</f>
        <v>3.6314571624764951</v>
      </c>
      <c r="R8" s="4"/>
      <c r="S8" s="1" t="s">
        <v>9</v>
      </c>
      <c r="T8" s="4">
        <f ca="1">com_share_state_target*'LEAP Statewide'!T8</f>
        <v>1.89205717551297</v>
      </c>
      <c r="U8" s="4">
        <f ca="1">com_share_state_target*'LEAP Statewide'!U8</f>
        <v>1.5501869582441943</v>
      </c>
      <c r="V8" s="4">
        <f ca="1">com_share_state_target*'LEAP Statewide'!V8</f>
        <v>1.1539216508026278</v>
      </c>
      <c r="W8" s="5">
        <f ca="1">com_share_state_target*'LEAP Statewide'!W8</f>
        <v>0.5340077132016976</v>
      </c>
      <c r="Y8" s="23"/>
    </row>
    <row r="9" spans="1:25" x14ac:dyDescent="0.25">
      <c r="A9" s="1" t="s">
        <v>7</v>
      </c>
      <c r="B9" s="4">
        <f>res_share_state_target*'LEAP Statewide'!B9</f>
        <v>2.3130494062500997</v>
      </c>
      <c r="C9" s="4">
        <f>res_share_state_target*'LEAP Statewide'!C9</f>
        <v>1.8566203353353834</v>
      </c>
      <c r="D9" s="4">
        <f>res_share_state_target*'LEAP Statewide'!D9</f>
        <v>1.4168319076310991</v>
      </c>
      <c r="E9" s="5">
        <f>res_share_state_target*'LEAP Statewide'!E9</f>
        <v>0.70128424958250712</v>
      </c>
      <c r="G9" s="1" t="s">
        <v>7</v>
      </c>
      <c r="H9" s="4">
        <f>res_share_state_target*'LEAP Statewide'!H9</f>
        <v>2.2702591808518453</v>
      </c>
      <c r="I9" s="4">
        <f>res_share_state_target*'LEAP Statewide'!I9</f>
        <v>1.6355375041110676</v>
      </c>
      <c r="J9" s="4">
        <f>res_share_state_target*'LEAP Statewide'!J9</f>
        <v>1.0150792358363747</v>
      </c>
      <c r="K9" s="5">
        <f>res_share_state_target*'LEAP Statewide'!K9</f>
        <v>0</v>
      </c>
      <c r="L9" s="21"/>
      <c r="M9" s="1" t="s">
        <v>16</v>
      </c>
      <c r="N9" s="4">
        <f ca="1">com_share_state_target*'LEAP Statewide'!N9</f>
        <v>0.28732890373530551</v>
      </c>
      <c r="O9" s="4">
        <f ca="1">com_share_state_target*'LEAP Statewide'!O9</f>
        <v>0.21421722339553312</v>
      </c>
      <c r="P9" s="4">
        <f ca="1">com_share_state_target*'LEAP Statewide'!P9</f>
        <v>0.13160102461159032</v>
      </c>
      <c r="Q9" s="5">
        <f ca="1">com_share_state_target*'LEAP Statewide'!Q9</f>
        <v>0</v>
      </c>
      <c r="R9" s="2"/>
      <c r="S9" s="1" t="s">
        <v>16</v>
      </c>
      <c r="T9" s="4">
        <f ca="1">com_share_state_target*'LEAP Statewide'!T9</f>
        <v>0.28710956869428622</v>
      </c>
      <c r="U9" s="4">
        <f ca="1">com_share_state_target*'LEAP Statewide'!U9</f>
        <v>0.21385166499383426</v>
      </c>
      <c r="V9" s="4">
        <f ca="1">com_share_state_target*'LEAP Statewide'!V9</f>
        <v>0.13130857789023123</v>
      </c>
      <c r="W9" s="5">
        <f ca="1">com_share_state_target*'LEAP Statewide'!W9</f>
        <v>0</v>
      </c>
      <c r="Y9" s="23"/>
    </row>
    <row r="10" spans="1:25" x14ac:dyDescent="0.25">
      <c r="A10" s="1" t="s">
        <v>8</v>
      </c>
      <c r="B10" s="4">
        <f>res_share_state_target*'LEAP Statewide'!B10</f>
        <v>13.343418620022415</v>
      </c>
      <c r="C10" s="4">
        <f>res_share_state_target*'LEAP Statewide'!C10</f>
        <v>10.690424645330626</v>
      </c>
      <c r="D10" s="4">
        <f>res_share_state_target*'LEAP Statewide'!D10</f>
        <v>7.897173820722335</v>
      </c>
      <c r="E10" s="5">
        <f>res_share_state_target*'LEAP Statewide'!E10</f>
        <v>2.8503044584726309</v>
      </c>
      <c r="G10" s="1" t="s">
        <v>8</v>
      </c>
      <c r="H10" s="4">
        <f>res_share_state_target*'LEAP Statewide'!H10</f>
        <v>13.186521126895482</v>
      </c>
      <c r="I10" s="4">
        <f>res_share_state_target*'LEAP Statewide'!I10</f>
        <v>10.074720846544627</v>
      </c>
      <c r="J10" s="4">
        <f>res_share_state_target*'LEAP Statewide'!J10</f>
        <v>7.0508782517346313</v>
      </c>
      <c r="K10" s="5">
        <f>res_share_state_target*'LEAP Statewide'!K10</f>
        <v>2.3796119790918295</v>
      </c>
      <c r="L10" s="21"/>
      <c r="M10" s="1" t="s">
        <v>17</v>
      </c>
      <c r="N10" s="4">
        <f ca="1">com_share_state_target*'LEAP Statewide'!N10</f>
        <v>0.91462712105055266</v>
      </c>
      <c r="O10" s="4">
        <f ca="1">com_share_state_target*'LEAP Statewide'!O10</f>
        <v>0.97311646532237062</v>
      </c>
      <c r="P10" s="4">
        <f ca="1">com_share_state_target*'LEAP Statewide'!P10</f>
        <v>1.0162523567228363</v>
      </c>
      <c r="Q10" s="5">
        <f ca="1">com_share_state_target*'LEAP Statewide'!Q10</f>
        <v>1.1054486067373586</v>
      </c>
      <c r="R10" s="4"/>
      <c r="S10" s="1" t="s">
        <v>17</v>
      </c>
      <c r="T10" s="4">
        <f ca="1">com_share_state_target*'LEAP Statewide'!T10</f>
        <v>0.98188986696314329</v>
      </c>
      <c r="U10" s="4">
        <f ca="1">com_share_state_target*'LEAP Statewide'!U10</f>
        <v>1.3949708608828573</v>
      </c>
      <c r="V10" s="4">
        <f ca="1">com_share_state_target*'LEAP Statewide'!V10</f>
        <v>1.8074669613598531</v>
      </c>
      <c r="W10" s="5">
        <f ca="1">com_share_state_target*'LEAP Statewide'!W10</f>
        <v>2.5131408999993363</v>
      </c>
      <c r="Y10" s="23"/>
    </row>
    <row r="11" spans="1:25" x14ac:dyDescent="0.25">
      <c r="A11" s="1" t="s">
        <v>9</v>
      </c>
      <c r="B11" s="4">
        <f>res_share_state_target*'LEAP Statewide'!B11</f>
        <v>11.520079571107898</v>
      </c>
      <c r="C11" s="4">
        <f>res_share_state_target*'LEAP Statewide'!C11</f>
        <v>14.952806541945661</v>
      </c>
      <c r="D11" s="4">
        <f>res_share_state_target*'LEAP Statewide'!D11</f>
        <v>19.217565673305042</v>
      </c>
      <c r="E11" s="5">
        <f>res_share_state_target*'LEAP Statewide'!E11</f>
        <v>28.146459373074187</v>
      </c>
      <c r="G11" s="1" t="s">
        <v>9</v>
      </c>
      <c r="H11" s="4">
        <f>res_share_state_target*'LEAP Statewide'!H11</f>
        <v>10.490736926805438</v>
      </c>
      <c r="I11" s="4">
        <f>res_share_state_target*'LEAP Statewide'!I11</f>
        <v>8.3440939526596605</v>
      </c>
      <c r="J11" s="4">
        <f>res_share_state_target*'LEAP Statewide'!J11</f>
        <v>4.652248394688022</v>
      </c>
      <c r="K11" s="5">
        <f>res_share_state_target*'LEAP Statewide'!K11</f>
        <v>0.57766804287643814</v>
      </c>
      <c r="L11" s="21"/>
      <c r="M11" s="7" t="s">
        <v>12</v>
      </c>
      <c r="N11" s="8">
        <f ca="1">SUM(N4:N10)</f>
        <v>13.396984305459894</v>
      </c>
      <c r="O11" s="8">
        <f ca="1">SUM(O4:O10)</f>
        <v>13.387479787015724</v>
      </c>
      <c r="P11" s="8">
        <f ca="1">SUM(P4:P10)</f>
        <v>13.1059998177076</v>
      </c>
      <c r="Q11" s="9">
        <f ca="1">SUM(Q4:Q10)</f>
        <v>12.910791631200407</v>
      </c>
      <c r="R11" s="4"/>
      <c r="S11" s="7" t="s">
        <v>12</v>
      </c>
      <c r="T11" s="8">
        <f ca="1">SUM(T4:T10)</f>
        <v>13.254635863838358</v>
      </c>
      <c r="U11" s="8">
        <f ca="1">SUM(U4:U10)</f>
        <v>12.49895353584647</v>
      </c>
      <c r="V11" s="8">
        <f ca="1">SUM(V4:V10)</f>
        <v>11.438980394280451</v>
      </c>
      <c r="W11" s="9">
        <f ca="1">SUM(W4:W10)</f>
        <v>9.9483063438328294</v>
      </c>
    </row>
    <row r="12" spans="1:25" x14ac:dyDescent="0.25">
      <c r="A12" s="1" t="s">
        <v>10</v>
      </c>
      <c r="B12" s="4">
        <f>res_share_state_target*'LEAP Statewide'!B12</f>
        <v>24.673319411582515</v>
      </c>
      <c r="C12" s="4">
        <f>res_share_state_target*'LEAP Statewide'!C12</f>
        <v>19.383972105409367</v>
      </c>
      <c r="D12" s="4">
        <f>res_share_state_target*'LEAP Statewide'!D12</f>
        <v>12.777636750867716</v>
      </c>
      <c r="E12" s="5">
        <f>res_share_state_target*'LEAP Statewide'!E12</f>
        <v>3.4208407971160262</v>
      </c>
      <c r="G12" s="1" t="s">
        <v>10</v>
      </c>
      <c r="H12" s="4">
        <f>res_share_state_target*'LEAP Statewide'!H12</f>
        <v>24.190740758479976</v>
      </c>
      <c r="I12" s="4">
        <f>res_share_state_target*'LEAP Statewide'!I12</f>
        <v>17.334795755781837</v>
      </c>
      <c r="J12" s="4">
        <f>res_share_state_target*'LEAP Statewide'!J12</f>
        <v>10.683292941097584</v>
      </c>
      <c r="K12" s="5">
        <f>res_share_state_target*'LEAP Statewide'!K12</f>
        <v>0</v>
      </c>
      <c r="L12" s="21"/>
    </row>
    <row r="13" spans="1:25" x14ac:dyDescent="0.25">
      <c r="A13" s="1" t="s">
        <v>11</v>
      </c>
      <c r="B13" s="4">
        <f>res_share_state_target*'LEAP Statewide'!B13</f>
        <v>1.5309391753597783</v>
      </c>
      <c r="C13" s="4">
        <f>res_share_state_target*'LEAP Statewide'!C13</f>
        <v>2.0277812369284018</v>
      </c>
      <c r="D13" s="4">
        <f>res_share_state_target*'LEAP Statewide'!D13</f>
        <v>2.5032281857978984</v>
      </c>
      <c r="E13" s="5">
        <f>res_share_state_target*'LEAP Statewide'!E13</f>
        <v>3.2377937218012702</v>
      </c>
      <c r="G13" s="1" t="s">
        <v>11</v>
      </c>
      <c r="H13" s="4">
        <f>res_share_state_target*'LEAP Statewide'!H13</f>
        <v>1.761530945561484</v>
      </c>
      <c r="I13" s="4">
        <f>res_share_state_target*'LEAP Statewide'!I13</f>
        <v>3.2235303133351856</v>
      </c>
      <c r="J13" s="4">
        <f>res_share_state_target*'LEAP Statewide'!J13</f>
        <v>4.3432078779228496</v>
      </c>
      <c r="K13" s="5">
        <f>res_share_state_target*'LEAP Statewide'!K13</f>
        <v>5.4058318086461741</v>
      </c>
      <c r="L13" s="21"/>
      <c r="N13" s="21"/>
      <c r="O13" s="21"/>
      <c r="P13" s="21"/>
      <c r="Q13" s="21"/>
      <c r="T13" s="21"/>
      <c r="U13" s="21"/>
      <c r="V13" s="21"/>
      <c r="W13" s="21"/>
    </row>
    <row r="14" spans="1:25" x14ac:dyDescent="0.25">
      <c r="A14" s="7" t="s">
        <v>12</v>
      </c>
      <c r="B14" s="8">
        <f>SUM(B4:B13)</f>
        <v>74.438351549752696</v>
      </c>
      <c r="C14" s="8">
        <f>SUM(C4:C13)</f>
        <v>69.505589455231686</v>
      </c>
      <c r="D14" s="8">
        <f>SUM(D4:D13)</f>
        <v>64.470606266703697</v>
      </c>
      <c r="E14" s="9">
        <f>SUM(E4:E13)</f>
        <v>58.591704743932382</v>
      </c>
      <c r="G14" s="7" t="s">
        <v>12</v>
      </c>
      <c r="H14" s="8">
        <f>SUM(H4:H13)</f>
        <v>73.542134051133701</v>
      </c>
      <c r="I14" s="8">
        <f>SUM(I4:I13)</f>
        <v>64.601354177642818</v>
      </c>
      <c r="J14" s="8">
        <f>SUM(J4:J13)</f>
        <v>54.248496866009539</v>
      </c>
      <c r="K14" s="9">
        <f>SUM(K4:K13)</f>
        <v>38.340041956836188</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66.562572841729491</v>
      </c>
      <c r="C24" s="4">
        <f>res_share_state_target*'LEAP Statewide'!C24*1000</f>
        <v>54.676399119992084</v>
      </c>
      <c r="D24" s="4">
        <f>res_share_state_target*'LEAP Statewide'!D24*1000</f>
        <v>47.544694886949635</v>
      </c>
      <c r="E24" s="5">
        <f>res_share_state_target*'LEAP Statewide'!E24*1000</f>
        <v>40.412990653907187</v>
      </c>
      <c r="G24" s="1" t="s">
        <v>21</v>
      </c>
      <c r="H24" s="4">
        <f>res_share_state_target*'LEAP Statewide'!H24*1000</f>
        <v>66.562572841729491</v>
      </c>
      <c r="I24" s="4">
        <f>res_share_state_target*'LEAP Statewide'!I24*1000</f>
        <v>54.676399119992084</v>
      </c>
      <c r="J24" s="4">
        <f>res_share_state_target*'LEAP Statewide'!J24*1000</f>
        <v>26.1495821878223</v>
      </c>
      <c r="K24" s="5">
        <f>res_share_state_target*'LEAP Statewide'!K24*1000</f>
        <v>2.3772347443474819</v>
      </c>
    </row>
    <row r="25" spans="1:16" x14ac:dyDescent="0.25">
      <c r="A25" s="1" t="s">
        <v>22</v>
      </c>
      <c r="B25" s="4">
        <f>res_share_state_target*'LEAP Statewide'!B25*1000</f>
        <v>9.5089389773899278</v>
      </c>
      <c r="C25" s="4">
        <f>res_share_state_target*'LEAP Statewide'!C25*1000</f>
        <v>7.1317042330424458</v>
      </c>
      <c r="D25" s="4">
        <f>res_share_state_target*'LEAP Statewide'!D25*1000</f>
        <v>7.1317042330424458</v>
      </c>
      <c r="E25" s="5">
        <f>res_share_state_target*'LEAP Statewide'!E25*1000</f>
        <v>4.7544694886949639</v>
      </c>
      <c r="G25" s="1" t="s">
        <v>22</v>
      </c>
      <c r="H25" s="4">
        <f>res_share_state_target*'LEAP Statewide'!H25*1000</f>
        <v>9.5089389773899278</v>
      </c>
      <c r="I25" s="4">
        <f>res_share_state_target*'LEAP Statewide'!I25*1000</f>
        <v>7.1317042330424458</v>
      </c>
      <c r="J25" s="4">
        <f>res_share_state_target*'LEAP Statewide'!J25*1000</f>
        <v>2.3772347443474819</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4.7544694886949639</v>
      </c>
      <c r="K26" s="5">
        <f>res_share_state_target*'LEAP Statewide'!K26*1000</f>
        <v>11.886173721737409</v>
      </c>
    </row>
    <row r="27" spans="1:16" x14ac:dyDescent="0.25">
      <c r="A27" s="1" t="s">
        <v>20</v>
      </c>
      <c r="B27" s="4">
        <f>res_share_state_target*'LEAP Statewide'!B27*1000</f>
        <v>2.3772347443474819</v>
      </c>
      <c r="C27" s="4">
        <f>res_share_state_target*'LEAP Statewide'!C27*1000</f>
        <v>2.3772347443474819</v>
      </c>
      <c r="D27" s="4">
        <f>res_share_state_target*'LEAP Statewide'!D27*1000</f>
        <v>2.3772347443474819</v>
      </c>
      <c r="E27" s="5">
        <f>res_share_state_target*'LEAP Statewide'!E27*1000</f>
        <v>2.3772347443474819</v>
      </c>
      <c r="G27" s="1" t="s">
        <v>20</v>
      </c>
      <c r="H27" s="4">
        <f>res_share_state_target*'LEAP Statewide'!H27*1000</f>
        <v>2.3772347443474819</v>
      </c>
      <c r="I27" s="4">
        <f>res_share_state_target*'LEAP Statewide'!I27*1000</f>
        <v>2.3772347443474819</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2.3772347443474819</v>
      </c>
      <c r="K28" s="5">
        <f>res_share_state_target*'LEAP Statewide'!K28*1000</f>
        <v>2.3772347443474819</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78.448746563466898</v>
      </c>
      <c r="C30" s="8">
        <f>SUM(C24:C29)</f>
        <v>64.185338097382015</v>
      </c>
      <c r="D30" s="8">
        <f>SUM(D24:D29)</f>
        <v>57.053633864339567</v>
      </c>
      <c r="E30" s="9">
        <f>SUM(E24:E29)</f>
        <v>47.544694886949635</v>
      </c>
      <c r="G30" s="7" t="s">
        <v>12</v>
      </c>
      <c r="H30" s="8">
        <f>SUM(H24:H29)</f>
        <v>78.448746563466898</v>
      </c>
      <c r="I30" s="8">
        <f>SUM(I24:I29)</f>
        <v>64.185338097382015</v>
      </c>
      <c r="J30" s="8">
        <f>SUM(J24:J29)</f>
        <v>35.658521165212228</v>
      </c>
      <c r="K30" s="9">
        <f>SUM(K24:K29)</f>
        <v>16.640643210432373</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res_share_state_target*'LEAP Statewide'!B49</f>
        <v>0.24485517866779064</v>
      </c>
      <c r="C49" s="20">
        <f>res_share_state_target*'LEAP Statewide'!C49</f>
        <v>1.1719767289633085</v>
      </c>
      <c r="D49" s="20">
        <f>res_share_state_target*'LEAP Statewide'!D49</f>
        <v>2.032535706417097</v>
      </c>
      <c r="E49" s="20">
        <f>res_share_state_target*'LEAP Statewide'!E49</f>
        <v>3.3519009895299496</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0.32319379844961249</v>
      </c>
      <c r="I4" s="4">
        <f>res_share_region_target*'LEAP Scenario'!I4</f>
        <v>1.1542635658914731</v>
      </c>
      <c r="J4" s="4">
        <f>res_share_region_target*'LEAP Scenario'!J4</f>
        <v>1.8929922480620158</v>
      </c>
      <c r="K4" s="5">
        <f>res_share_region_target*'LEAP Scenario'!K4</f>
        <v>2.9318294573643415</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8.2248115147361189E-2</v>
      </c>
      <c r="U4" s="4">
        <f>com_share_region_target*'LEAP Scenario'!U4</f>
        <v>0.50376970527758724</v>
      </c>
      <c r="V4" s="4">
        <f>com_share_region_target*'LEAP Scenario'!V4</f>
        <v>0.94585332419465362</v>
      </c>
      <c r="W4" s="5">
        <f>com_share_region_target*'LEAP Scenario'!W4</f>
        <v>1.6860863605209044</v>
      </c>
      <c r="Y4" s="23"/>
    </row>
    <row r="5" spans="1:25" x14ac:dyDescent="0.25">
      <c r="A5" s="1" t="s">
        <v>3</v>
      </c>
      <c r="B5" s="4">
        <f>res_share_region_target*'LEAP Scenario'!B5</f>
        <v>43.63116279069768</v>
      </c>
      <c r="C5" s="4">
        <f>res_share_region_target*'LEAP Scenario'!C5</f>
        <v>36.197705426356599</v>
      </c>
      <c r="D5" s="4">
        <f>res_share_region_target*'LEAP Scenario'!D5</f>
        <v>30.033937984496131</v>
      </c>
      <c r="E5" s="5">
        <f>res_share_region_target*'LEAP Scenario'!E5</f>
        <v>22.877503875968998</v>
      </c>
      <c r="G5" s="1" t="s">
        <v>3</v>
      </c>
      <c r="H5" s="4">
        <f>res_share_region_target*'LEAP Scenario'!H5</f>
        <v>42.915519379844966</v>
      </c>
      <c r="I5" s="4">
        <f>res_share_region_target*'LEAP Scenario'!I5</f>
        <v>33.935348837209311</v>
      </c>
      <c r="J5" s="4">
        <f>res_share_region_target*'LEAP Scenario'!J5</f>
        <v>26.040186046511632</v>
      </c>
      <c r="K5" s="5">
        <f>res_share_region_target*'LEAP Scenario'!K5</f>
        <v>17.313953488372096</v>
      </c>
      <c r="L5" s="21"/>
      <c r="M5" s="1" t="s">
        <v>14</v>
      </c>
      <c r="N5" s="4">
        <f>com_share_region_target*'LEAP Scenario'!N5</f>
        <v>4.2460589444825212</v>
      </c>
      <c r="O5" s="4">
        <f>com_share_region_target*'LEAP Scenario'!O5</f>
        <v>3.4852638793694304</v>
      </c>
      <c r="P5" s="4">
        <f>com_share_region_target*'LEAP Scenario'!P5</f>
        <v>2.6010966415352974</v>
      </c>
      <c r="Q5" s="5">
        <f>com_share_region_target*'LEAP Scenario'!Q5</f>
        <v>1.2131596984235775</v>
      </c>
      <c r="R5" s="2"/>
      <c r="S5" s="1" t="s">
        <v>14</v>
      </c>
      <c r="T5" s="4">
        <f>com_share_region_target*'LEAP Scenario'!T5</f>
        <v>4.1946538725154205</v>
      </c>
      <c r="U5" s="4">
        <f>com_share_region_target*'LEAP Scenario'!U5</f>
        <v>3.125428375599725</v>
      </c>
      <c r="V5" s="4">
        <f>com_share_region_target*'LEAP Scenario'!V5</f>
        <v>1.9225496915695679</v>
      </c>
      <c r="W5" s="5">
        <f>com_share_region_target*'LEAP Scenario'!W5</f>
        <v>1.0281014393420149E-2</v>
      </c>
      <c r="Y5" s="92"/>
    </row>
    <row r="6" spans="1:25" x14ac:dyDescent="0.25">
      <c r="A6" s="1" t="s">
        <v>4</v>
      </c>
      <c r="B6" s="4">
        <f>res_share_region_target*'LEAP Scenario'!B6</f>
        <v>4.4092868217054271</v>
      </c>
      <c r="C6" s="4">
        <f>res_share_region_target*'LEAP Scenario'!C6</f>
        <v>3.2781085271317836</v>
      </c>
      <c r="D6" s="4">
        <f>res_share_region_target*'LEAP Scenario'!D6</f>
        <v>1.8929922480620158</v>
      </c>
      <c r="E6" s="5">
        <f>res_share_region_target*'LEAP Scenario'!E6</f>
        <v>0.55404651162790708</v>
      </c>
      <c r="G6" s="1" t="s">
        <v>4</v>
      </c>
      <c r="H6" s="4">
        <f>res_share_region_target*'LEAP Scenario'!H6</f>
        <v>4.7786511627906982</v>
      </c>
      <c r="I6" s="4">
        <f>res_share_region_target*'LEAP Scenario'!I6</f>
        <v>4.3169457364341097</v>
      </c>
      <c r="J6" s="4">
        <f>res_share_region_target*'LEAP Scenario'!J6</f>
        <v>2.3546976744186052</v>
      </c>
      <c r="K6" s="5">
        <f>res_share_region_target*'LEAP Scenario'!K6</f>
        <v>0.71564341085271332</v>
      </c>
      <c r="L6" s="21"/>
      <c r="M6" s="1" t="s">
        <v>15</v>
      </c>
      <c r="N6" s="89">
        <f>com_share_region_target*'LEAP Scenario'!N6</f>
        <v>7.751884852638792</v>
      </c>
      <c r="O6" s="89">
        <f>com_share_region_target*'LEAP Scenario'!O6</f>
        <v>8.2453735435229589</v>
      </c>
      <c r="P6" s="89">
        <f>com_share_region_target*'LEAP Scenario'!P6</f>
        <v>8.6052090472926643</v>
      </c>
      <c r="Q6" s="90">
        <f>com_share_region_target*'LEAP Scenario'!Q6</f>
        <v>9.366004112405756</v>
      </c>
      <c r="R6" s="4"/>
      <c r="S6" s="1" t="s">
        <v>15</v>
      </c>
      <c r="T6" s="89">
        <f>com_share_region_target*'LEAP Scenario'!T6</f>
        <v>7.6490747087045907</v>
      </c>
      <c r="U6" s="89">
        <f>com_share_region_target*'LEAP Scenario'!U6</f>
        <v>7.5771076079506496</v>
      </c>
      <c r="V6" s="89">
        <f>com_share_region_target*'LEAP Scenario'!V6</f>
        <v>7.340644276901986</v>
      </c>
      <c r="W6" s="90">
        <f>com_share_region_target*'LEAP Scenario'!W6</f>
        <v>7.1144619602467429</v>
      </c>
      <c r="Y6" s="92"/>
    </row>
    <row r="7" spans="1:25" x14ac:dyDescent="0.25">
      <c r="A7" s="1" t="s">
        <v>5</v>
      </c>
      <c r="B7" s="4">
        <f>res_share_region_target*'LEAP Scenario'!B7</f>
        <v>0.60021705426356597</v>
      </c>
      <c r="C7" s="4">
        <f>res_share_region_target*'LEAP Scenario'!C7</f>
        <v>2.8394883720930237</v>
      </c>
      <c r="D7" s="4">
        <f>res_share_region_target*'LEAP Scenario'!D7</f>
        <v>4.4092868217054271</v>
      </c>
      <c r="E7" s="5">
        <f>res_share_region_target*'LEAP Scenario'!E7</f>
        <v>5.540465116279071</v>
      </c>
      <c r="G7" s="1" t="s">
        <v>5</v>
      </c>
      <c r="H7" s="4">
        <f>res_share_region_target*'LEAP Scenario'!H7</f>
        <v>0.53096124031007763</v>
      </c>
      <c r="I7" s="4">
        <f>res_share_region_target*'LEAP Scenario'!I7</f>
        <v>2.5393798449612408</v>
      </c>
      <c r="J7" s="4">
        <f>res_share_region_target*'LEAP Scenario'!J7</f>
        <v>5.1941860465116285</v>
      </c>
      <c r="K7" s="5">
        <f>res_share_region_target*'LEAP Scenario'!K7</f>
        <v>6.2330232558139542</v>
      </c>
      <c r="M7" s="1" t="s">
        <v>8</v>
      </c>
      <c r="N7" s="4">
        <f>com_share_region_target*'LEAP Scenario'!N7</f>
        <v>3.1973954763536661</v>
      </c>
      <c r="O7" s="4">
        <f>com_share_region_target*'LEAP Scenario'!O7</f>
        <v>3.4544208361891702</v>
      </c>
      <c r="P7" s="4">
        <f>com_share_region_target*'LEAP Scenario'!P7</f>
        <v>3.649760109664153</v>
      </c>
      <c r="Q7" s="5">
        <f>com_share_region_target*'LEAP Scenario'!Q7</f>
        <v>4.0507196710075384</v>
      </c>
      <c r="R7" s="4"/>
      <c r="S7" s="1" t="s">
        <v>8</v>
      </c>
      <c r="T7" s="4">
        <f>com_share_region_target*'LEAP Scenario'!T7</f>
        <v>3.0740233036326243</v>
      </c>
      <c r="U7" s="4">
        <f>com_share_region_target*'LEAP Scenario'!U7</f>
        <v>2.6525017135023985</v>
      </c>
      <c r="V7" s="4">
        <f>com_share_region_target*'LEAP Scenario'!V7</f>
        <v>2.1487320082248109</v>
      </c>
      <c r="W7" s="5">
        <f>com_share_region_target*'LEAP Scenario'!W7</f>
        <v>1.3673749143248797</v>
      </c>
      <c r="Y7" s="92"/>
    </row>
    <row r="8" spans="1:25" x14ac:dyDescent="0.25">
      <c r="A8" s="1" t="s">
        <v>6</v>
      </c>
      <c r="B8" s="4">
        <f>res_share_region_target*'LEAP Scenario'!B8</f>
        <v>6.9255813953488385E-2</v>
      </c>
      <c r="C8" s="4">
        <f>res_share_region_target*'LEAP Scenario'!C8</f>
        <v>0.30010852713178299</v>
      </c>
      <c r="D8" s="4">
        <f>res_share_region_target*'LEAP Scenario'!D8</f>
        <v>1.0850077519379846</v>
      </c>
      <c r="E8" s="5">
        <f>res_share_region_target*'LEAP Scenario'!E8</f>
        <v>2.608635658914729</v>
      </c>
      <c r="G8" s="1" t="s">
        <v>6</v>
      </c>
      <c r="H8" s="4">
        <f>res_share_region_target*'LEAP Scenario'!H8</f>
        <v>0.36936434108527139</v>
      </c>
      <c r="I8" s="4">
        <f>res_share_region_target*'LEAP Scenario'!I8</f>
        <v>1.0619224806201553</v>
      </c>
      <c r="J8" s="4">
        <f>res_share_region_target*'LEAP Scenario'!J8</f>
        <v>2.0776744186046514</v>
      </c>
      <c r="K8" s="5">
        <f>res_share_region_target*'LEAP Scenario'!K8</f>
        <v>2.908744186046512</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2.9780000000000006</v>
      </c>
      <c r="C9" s="4">
        <f>res_share_region_target*'LEAP Scenario'!C9</f>
        <v>3.7859844961240317</v>
      </c>
      <c r="D9" s="4">
        <f>res_share_region_target*'LEAP Scenario'!D9</f>
        <v>4.6401395348837218</v>
      </c>
      <c r="E9" s="5">
        <f>res_share_region_target*'LEAP Scenario'!E9</f>
        <v>1.1773488372093026</v>
      </c>
      <c r="G9" s="1" t="s">
        <v>7</v>
      </c>
      <c r="H9" s="4">
        <f>res_share_region_target*'LEAP Scenario'!H9</f>
        <v>2.7702325581395355</v>
      </c>
      <c r="I9" s="4">
        <f>res_share_region_target*'LEAP Scenario'!I9</f>
        <v>3.2088527131782953</v>
      </c>
      <c r="J9" s="4">
        <f>res_share_region_target*'LEAP Scenario'!J9</f>
        <v>3.7167286821705434</v>
      </c>
      <c r="K9" s="5">
        <f>res_share_region_target*'LEAP Scenario'!K9</f>
        <v>0</v>
      </c>
      <c r="L9" s="21"/>
      <c r="M9" s="1" t="s">
        <v>16</v>
      </c>
      <c r="N9" s="4">
        <f>com_share_region_target*'LEAP Scenario'!N9</f>
        <v>0.43180260452364627</v>
      </c>
      <c r="O9" s="4">
        <f>com_share_region_target*'LEAP Scenario'!O9</f>
        <v>0.31871144619602459</v>
      </c>
      <c r="P9" s="4">
        <f>com_share_region_target*'LEAP Scenario'!P9</f>
        <v>0.19533927347498281</v>
      </c>
      <c r="Q9" s="5">
        <f>com_share_region_target*'LEAP Scenario'!Q9</f>
        <v>0</v>
      </c>
      <c r="R9" s="2"/>
      <c r="S9" s="1" t="s">
        <v>16</v>
      </c>
      <c r="T9" s="4">
        <f>com_share_region_target*'LEAP Scenario'!T9</f>
        <v>0.43180260452364627</v>
      </c>
      <c r="U9" s="4">
        <f>com_share_region_target*'LEAP Scenario'!U9</f>
        <v>0.31871144619602459</v>
      </c>
      <c r="V9" s="4">
        <f>com_share_region_target*'LEAP Scenario'!V9</f>
        <v>0.19533927347498281</v>
      </c>
      <c r="W9" s="5">
        <f>com_share_region_target*'LEAP Scenario'!W9</f>
        <v>0</v>
      </c>
      <c r="Y9" s="23"/>
    </row>
    <row r="10" spans="1:25" x14ac:dyDescent="0.25">
      <c r="A10" s="1" t="s">
        <v>8</v>
      </c>
      <c r="B10" s="4">
        <f>res_share_region_target*'LEAP Scenario'!B10</f>
        <v>16.690651162790701</v>
      </c>
      <c r="C10" s="4">
        <f>res_share_region_target*'LEAP Scenario'!C10</f>
        <v>13.620310077519383</v>
      </c>
      <c r="D10" s="4">
        <f>res_share_region_target*'LEAP Scenario'!D10</f>
        <v>10.896248062015506</v>
      </c>
      <c r="E10" s="5">
        <f>res_share_region_target*'LEAP Scenario'!E10</f>
        <v>7.2949457364341095</v>
      </c>
      <c r="G10" s="1" t="s">
        <v>8</v>
      </c>
      <c r="H10" s="4">
        <f>res_share_region_target*'LEAP Scenario'!H10</f>
        <v>16.321286821705428</v>
      </c>
      <c r="I10" s="4">
        <f>res_share_region_target*'LEAP Scenario'!I10</f>
        <v>12.766155038759692</v>
      </c>
      <c r="J10" s="4">
        <f>res_share_region_target*'LEAP Scenario'!J10</f>
        <v>8.1721860465116301</v>
      </c>
      <c r="K10" s="5">
        <f>res_share_region_target*'LEAP Scenario'!K10</f>
        <v>2.8625736434108533</v>
      </c>
      <c r="L10" s="21"/>
      <c r="M10" s="1" t="s">
        <v>17</v>
      </c>
      <c r="N10" s="4">
        <f>com_share_region_target*'LEAP Scenario'!N10</f>
        <v>1.3879369431117201</v>
      </c>
      <c r="O10" s="4">
        <f>com_share_region_target*'LEAP Scenario'!O10</f>
        <v>1.5524331734064425</v>
      </c>
      <c r="P10" s="4">
        <f>com_share_region_target*'LEAP Scenario'!P10</f>
        <v>1.7066483893077447</v>
      </c>
      <c r="Q10" s="5">
        <f>com_share_region_target*'LEAP Scenario'!Q10</f>
        <v>1.9739547635366685</v>
      </c>
      <c r="R10" s="4"/>
      <c r="S10" s="1" t="s">
        <v>17</v>
      </c>
      <c r="T10" s="4">
        <f>com_share_region_target*'LEAP Scenario'!T10</f>
        <v>1.449623029472241</v>
      </c>
      <c r="U10" s="4">
        <f>com_share_region_target*'LEAP Scenario'!U10</f>
        <v>1.9842357779300888</v>
      </c>
      <c r="V10" s="4">
        <f>com_share_region_target*'LEAP Scenario'!V10</f>
        <v>2.5085675119945163</v>
      </c>
      <c r="W10" s="5">
        <f>com_share_region_target*'LEAP Scenario'!W10</f>
        <v>3.4132967786154893</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17.015078821110343</v>
      </c>
      <c r="O11" s="8">
        <f>SUM(O4:O10)</f>
        <v>17.056202878684026</v>
      </c>
      <c r="P11" s="8">
        <f>SUM(P4:P10)</f>
        <v>16.758053461274841</v>
      </c>
      <c r="Q11" s="9">
        <f>SUM(Q4:Q10)</f>
        <v>16.603838245373542</v>
      </c>
      <c r="R11" s="4"/>
      <c r="S11" s="7" t="s">
        <v>12</v>
      </c>
      <c r="T11" s="8">
        <f>SUM(T4:T10)</f>
        <v>16.881425633995885</v>
      </c>
      <c r="U11" s="8">
        <f>SUM(U4:U10)</f>
        <v>16.161754626456474</v>
      </c>
      <c r="V11" s="8">
        <f>SUM(V4:V10)</f>
        <v>15.061686086360517</v>
      </c>
      <c r="W11" s="9">
        <f>SUM(W4:W10)</f>
        <v>13.591501028101437</v>
      </c>
    </row>
    <row r="12" spans="1:25" x14ac:dyDescent="0.25">
      <c r="A12" s="1" t="s">
        <v>10</v>
      </c>
      <c r="B12" s="4">
        <f>res_share_region_target*'LEAP Scenario'!B12</f>
        <v>40.653162790697685</v>
      </c>
      <c r="C12" s="4">
        <f>res_share_region_target*'LEAP Scenario'!C12</f>
        <v>30.980434108527138</v>
      </c>
      <c r="D12" s="4">
        <f>res_share_region_target*'LEAP Scenario'!D12</f>
        <v>21.700155038759693</v>
      </c>
      <c r="E12" s="5">
        <f>res_share_region_target*'LEAP Scenario'!E12</f>
        <v>9.4880465116279087</v>
      </c>
      <c r="G12" s="1" t="s">
        <v>10</v>
      </c>
      <c r="H12" s="4">
        <f>res_share_region_target*'LEAP Scenario'!H12</f>
        <v>39.106449612403111</v>
      </c>
      <c r="I12" s="4">
        <f>res_share_region_target*'LEAP Scenario'!I12</f>
        <v>26.271038759689926</v>
      </c>
      <c r="J12" s="4">
        <f>res_share_region_target*'LEAP Scenario'!J12</f>
        <v>13.874248062015507</v>
      </c>
      <c r="K12" s="5">
        <f>res_share_region_target*'LEAP Scenario'!K12</f>
        <v>0</v>
      </c>
      <c r="L12" s="21"/>
    </row>
    <row r="13" spans="1:25" x14ac:dyDescent="0.25">
      <c r="A13" s="1" t="s">
        <v>11</v>
      </c>
      <c r="B13" s="4">
        <f>res_share_region_target*'LEAP Scenario'!B13</f>
        <v>8.4030387596899239</v>
      </c>
      <c r="C13" s="4">
        <f>res_share_region_target*'LEAP Scenario'!C13</f>
        <v>7.4565426356589164</v>
      </c>
      <c r="D13" s="4">
        <f>res_share_region_target*'LEAP Scenario'!D13</f>
        <v>6.6947286821705436</v>
      </c>
      <c r="E13" s="5">
        <f>res_share_region_target*'LEAP Scenario'!E13</f>
        <v>5.9790852713178309</v>
      </c>
      <c r="G13" s="1" t="s">
        <v>11</v>
      </c>
      <c r="H13" s="4">
        <f>res_share_region_target*'LEAP Scenario'!H13</f>
        <v>7.2949457364341095</v>
      </c>
      <c r="I13" s="4">
        <f>res_share_region_target*'LEAP Scenario'!I13</f>
        <v>8.1491007751937996</v>
      </c>
      <c r="J13" s="4">
        <f>res_share_region_target*'LEAP Scenario'!J13</f>
        <v>7.318031007751939</v>
      </c>
      <c r="K13" s="5">
        <f>res_share_region_target*'LEAP Scenario'!K13</f>
        <v>6.833240310077521</v>
      </c>
      <c r="L13" s="21"/>
      <c r="N13" s="21"/>
      <c r="O13" s="21"/>
      <c r="P13" s="21"/>
      <c r="Q13" s="21"/>
      <c r="T13" s="21"/>
      <c r="U13" s="21"/>
      <c r="V13" s="21"/>
      <c r="W13" s="21"/>
    </row>
    <row r="14" spans="1:25" x14ac:dyDescent="0.25">
      <c r="A14" s="7" t="s">
        <v>12</v>
      </c>
      <c r="B14" s="8">
        <f>SUM(B4:B13)</f>
        <v>117.43477519379847</v>
      </c>
      <c r="C14" s="8">
        <f>SUM(C4:C13)</f>
        <v>98.458682170542659</v>
      </c>
      <c r="D14" s="8">
        <f>SUM(D4:D13)</f>
        <v>81.35249612403102</v>
      </c>
      <c r="E14" s="9">
        <f>SUM(E4:E13)</f>
        <v>55.520077519379846</v>
      </c>
      <c r="G14" s="7" t="s">
        <v>12</v>
      </c>
      <c r="H14" s="8">
        <f>SUM(H4:H13)</f>
        <v>114.41060465116281</v>
      </c>
      <c r="I14" s="8">
        <f>SUM(I4:I13)</f>
        <v>93.403007751938006</v>
      </c>
      <c r="J14" s="8">
        <f>SUM(J4:J13)</f>
        <v>70.640930232558162</v>
      </c>
      <c r="K14" s="9">
        <f>SUM(K4:K13)</f>
        <v>39.799007751937992</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67.224310077519391</v>
      </c>
      <c r="C24" s="4">
        <f>res_share_region_target*'LEAP Scenario'!C24</f>
        <v>54.712093023255825</v>
      </c>
      <c r="D24" s="4">
        <f>res_share_region_target*'LEAP Scenario'!D24</f>
        <v>46.632248062015513</v>
      </c>
      <c r="E24" s="5">
        <f>res_share_region_target*'LEAP Scenario'!E24</f>
        <v>39.152620155038768</v>
      </c>
      <c r="G24" s="1" t="s">
        <v>21</v>
      </c>
      <c r="H24" s="4">
        <f>res_share_region_target*'LEAP Scenario'!H24</f>
        <v>67.47824806201551</v>
      </c>
      <c r="I24" s="4">
        <f>res_share_region_target*'LEAP Scenario'!I24</f>
        <v>48.340558139534892</v>
      </c>
      <c r="J24" s="4">
        <f>res_share_region_target*'LEAP Scenario'!J24</f>
        <v>26.917426356589154</v>
      </c>
      <c r="K24" s="5">
        <f>res_share_region_target*'LEAP Scenario'!K24</f>
        <v>2.100759689922481</v>
      </c>
    </row>
    <row r="25" spans="1:16" x14ac:dyDescent="0.25">
      <c r="A25" s="1" t="s">
        <v>22</v>
      </c>
      <c r="B25" s="4">
        <f>res_share_region_target*'LEAP Scenario'!B25</f>
        <v>9.1186821705426375</v>
      </c>
      <c r="C25" s="4">
        <f>res_share_region_target*'LEAP Scenario'!C25</f>
        <v>7.3642015503875982</v>
      </c>
      <c r="D25" s="4">
        <f>res_share_region_target*'LEAP Scenario'!D25</f>
        <v>6.2330232558139542</v>
      </c>
      <c r="E25" s="5">
        <f>res_share_region_target*'LEAP Scenario'!E25</f>
        <v>5.1711007751937998</v>
      </c>
      <c r="G25" s="1" t="s">
        <v>22</v>
      </c>
      <c r="H25" s="4">
        <f>res_share_region_target*'LEAP Scenario'!H25</f>
        <v>9.0032558139534906</v>
      </c>
      <c r="I25" s="4">
        <f>res_share_region_target*'LEAP Scenario'!I25</f>
        <v>6.0021705426356604</v>
      </c>
      <c r="J25" s="4">
        <f>res_share_region_target*'LEAP Scenario'!J25</f>
        <v>3.255023255813954</v>
      </c>
      <c r="K25" s="5">
        <f>res_share_region_target*'LEAP Scenario'!K25</f>
        <v>0.36936434108527139</v>
      </c>
    </row>
    <row r="26" spans="1:16" x14ac:dyDescent="0.25">
      <c r="A26" s="1" t="s">
        <v>23</v>
      </c>
      <c r="B26" s="4">
        <f>res_share_region_target*'LEAP Scenario'!B26</f>
        <v>6.9255813953488385E-2</v>
      </c>
      <c r="C26" s="4">
        <f>res_share_region_target*'LEAP Scenario'!C26</f>
        <v>0.20776744186046514</v>
      </c>
      <c r="D26" s="4">
        <f>res_share_region_target*'LEAP Scenario'!D26</f>
        <v>0.32319379844961249</v>
      </c>
      <c r="E26" s="5">
        <f>res_share_region_target*'LEAP Scenario'!E26</f>
        <v>0.48479069767441868</v>
      </c>
      <c r="G26" s="1" t="s">
        <v>23</v>
      </c>
      <c r="H26" s="4">
        <f>res_share_region_target*'LEAP Scenario'!H26</f>
        <v>6.9255813953488385E-2</v>
      </c>
      <c r="I26" s="4">
        <f>res_share_region_target*'LEAP Scenario'!I26</f>
        <v>1.8929922480620158</v>
      </c>
      <c r="J26" s="4">
        <f>res_share_region_target*'LEAP Scenario'!J26</f>
        <v>5.4942945736434119</v>
      </c>
      <c r="K26" s="5">
        <f>res_share_region_target*'LEAP Scenario'!K26</f>
        <v>10.642310077519381</v>
      </c>
    </row>
    <row r="27" spans="1:16" x14ac:dyDescent="0.25">
      <c r="A27" s="1" t="s">
        <v>20</v>
      </c>
      <c r="B27" s="4">
        <f>res_share_region_target*'LEAP Scenario'!B27</f>
        <v>2.447038759689923</v>
      </c>
      <c r="C27" s="4">
        <f>res_share_region_target*'LEAP Scenario'!C27</f>
        <v>2.3085271317829461</v>
      </c>
      <c r="D27" s="4">
        <f>res_share_region_target*'LEAP Scenario'!D27</f>
        <v>2.2623565891472874</v>
      </c>
      <c r="E27" s="5">
        <f>res_share_region_target*'LEAP Scenario'!E27</f>
        <v>2.2392713178294579</v>
      </c>
      <c r="G27" s="1" t="s">
        <v>20</v>
      </c>
      <c r="H27" s="4">
        <f>res_share_region_target*'LEAP Scenario'!H27</f>
        <v>2.2623565891472874</v>
      </c>
      <c r="I27" s="4">
        <f>res_share_region_target*'LEAP Scenario'!I27</f>
        <v>1.4082015503875971</v>
      </c>
      <c r="J27" s="4">
        <f>res_share_region_target*'LEAP Scenario'!J27</f>
        <v>0.76181395348837222</v>
      </c>
      <c r="K27" s="5">
        <f>res_share_region_target*'LEAP Scenario'!K27</f>
        <v>2.3085271317829462E-2</v>
      </c>
    </row>
    <row r="28" spans="1:16" x14ac:dyDescent="0.25">
      <c r="A28" s="1" t="s">
        <v>18</v>
      </c>
      <c r="B28" s="4">
        <f>res_share_region_target*'LEAP Scenario'!B28</f>
        <v>2.3085271317829462E-2</v>
      </c>
      <c r="C28" s="4">
        <f>res_share_region_target*'LEAP Scenario'!C28</f>
        <v>2.3085271317829462E-2</v>
      </c>
      <c r="D28" s="4">
        <f>res_share_region_target*'LEAP Scenario'!D28</f>
        <v>2.3085271317829462E-2</v>
      </c>
      <c r="E28" s="5">
        <f>res_share_region_target*'LEAP Scenario'!E28</f>
        <v>0</v>
      </c>
      <c r="G28" s="1" t="s">
        <v>18</v>
      </c>
      <c r="H28" s="4">
        <f>res_share_region_target*'LEAP Scenario'!H28</f>
        <v>0.18468217054263569</v>
      </c>
      <c r="I28" s="4">
        <f>res_share_region_target*'LEAP Scenario'!I28</f>
        <v>0.87724031007751957</v>
      </c>
      <c r="J28" s="4">
        <f>res_share_region_target*'LEAP Scenario'!J28</f>
        <v>1.4082015503875971</v>
      </c>
      <c r="K28" s="5">
        <f>res_share_region_target*'LEAP Scenario'!K28</f>
        <v>2.0084186046511632</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78.882372093023264</v>
      </c>
      <c r="C30" s="8">
        <f>SUM(C24:C29)</f>
        <v>64.615674418604669</v>
      </c>
      <c r="D30" s="8">
        <f>SUM(D24:D29)</f>
        <v>55.473906976744203</v>
      </c>
      <c r="E30" s="9">
        <f>SUM(E24:E29)</f>
        <v>47.047782945736444</v>
      </c>
      <c r="G30" s="7" t="s">
        <v>12</v>
      </c>
      <c r="H30" s="8">
        <f>SUM(H24:H29)</f>
        <v>78.997798449612404</v>
      </c>
      <c r="I30" s="8">
        <f>SUM(I24:I29)</f>
        <v>58.52116279069768</v>
      </c>
      <c r="J30" s="8">
        <f>SUM(J24:J29)</f>
        <v>37.836759689922481</v>
      </c>
      <c r="K30" s="9">
        <f>SUM(K24:K29)</f>
        <v>15.143937984496125</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res_share_region_target*'LEAP Scenario'!B49</f>
        <v>0.27702325581395354</v>
      </c>
      <c r="C49" s="20">
        <f>res_share_region_target*'LEAP Scenario'!C49</f>
        <v>1.29277519379845</v>
      </c>
      <c r="D49" s="20">
        <f>res_share_region_target*'LEAP Scenario'!D49</f>
        <v>2.0315038759689927</v>
      </c>
      <c r="E49" s="20">
        <f>res_share_region_target*'LEAP Scenario'!E49</f>
        <v>2.9780000000000006</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21" t="s">
        <v>25</v>
      </c>
      <c r="C4" s="222"/>
      <c r="D4" s="222"/>
      <c r="E4" s="222"/>
      <c r="F4" s="223"/>
      <c r="H4" s="221" t="s">
        <v>30</v>
      </c>
      <c r="I4" s="222"/>
      <c r="J4" s="222"/>
      <c r="K4" s="222"/>
      <c r="L4" s="223"/>
      <c r="N4" s="221" t="s">
        <v>30</v>
      </c>
      <c r="O4" s="222"/>
      <c r="P4" s="222"/>
      <c r="Q4" s="222"/>
      <c r="R4" s="22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117434.77519379847</v>
      </c>
      <c r="J21" s="63">
        <f>'2.Heat Targets'!C24</f>
        <v>98458.682170542656</v>
      </c>
      <c r="K21" s="63">
        <f>'2.Heat Targets'!D24</f>
        <v>81352.496124031022</v>
      </c>
      <c r="L21" s="64">
        <f>'2.Heat Targets'!E24</f>
        <v>55520.077519379847</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937.262015503876</v>
      </c>
      <c r="J22" s="63">
        <f>'2.Heat Targets'!C25</f>
        <v>5023.3550387596906</v>
      </c>
      <c r="K22" s="63">
        <f>'2.Heat Targets'!D25</f>
        <v>9889.7302325581404</v>
      </c>
      <c r="L22" s="64">
        <f>'2.Heat Targets'!E25</f>
        <v>10593.831007751938</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114410.60465116281</v>
      </c>
      <c r="J23" s="63">
        <f>'2.Heat Targets'!C26</f>
        <v>93403.007751937999</v>
      </c>
      <c r="K23" s="63">
        <f>'2.Heat Targets'!D26</f>
        <v>70640.930232558167</v>
      </c>
      <c r="L23" s="64">
        <f>'2.Heat Targets'!E26</f>
        <v>39799.007751937992</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1260.4558139534886</v>
      </c>
      <c r="J24" s="63">
        <f>'2.Heat Targets'!C27</f>
        <v>5762.0837209302344</v>
      </c>
      <c r="K24" s="63">
        <f>'2.Heat Targets'!D27</f>
        <v>13089.348837209302</v>
      </c>
      <c r="L24" s="64">
        <f>'2.Heat Targets'!E27</f>
        <v>18283.534883720931</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2700.9767441860504</v>
      </c>
      <c r="J25" s="63">
        <f>'2.Heat Targets'!C28</f>
        <v>4316.9457364341133</v>
      </c>
      <c r="K25" s="63">
        <f>'2.Heat Targets'!D28</f>
        <v>7511.9472868216944</v>
      </c>
      <c r="L25" s="64">
        <f>'2.Heat Targets'!E28</f>
        <v>8031.3658914728658</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298">
        <f>'2.Heat Targets'!B29</f>
        <v>35.82</v>
      </c>
      <c r="J26" s="298">
        <f>'2.Heat Targets'!C29</f>
        <v>0</v>
      </c>
      <c r="K26" s="298">
        <f>'2.Heat Targets'!D29</f>
        <v>0</v>
      </c>
      <c r="L26" s="298">
        <f>'2.Heat Targets'!E29</f>
        <v>0</v>
      </c>
      <c r="O26" s="298">
        <f>'2.Heat Targets'!B29</f>
        <v>35.82</v>
      </c>
      <c r="P26" s="298"/>
      <c r="Q26" s="298"/>
      <c r="R26" s="29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75.404152545674208</v>
      </c>
      <c r="J27" s="63">
        <f>'2.Heat Targets'!C30</f>
        <v>120.51774808582114</v>
      </c>
      <c r="K27" s="63">
        <f>'2.Heat Targets'!D30</f>
        <v>209.71377126805399</v>
      </c>
      <c r="L27" s="64">
        <f>'2.Heat Targets'!E30</f>
        <v>224.21456983453004</v>
      </c>
      <c r="O27" s="62">
        <f>O25/$O$26</f>
        <v>284.0836074593139</v>
      </c>
      <c r="P27" s="63">
        <f>P25/$O$26</f>
        <v>1230.3538763771369</v>
      </c>
      <c r="Q27" s="63">
        <f>Q25/$O$26</f>
        <v>1855.0588824989673</v>
      </c>
      <c r="R27" s="64">
        <f>R25/$O$26</f>
        <v>3951.1740670997965</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532</v>
      </c>
      <c r="J28" s="203">
        <f>'2.Heat Targets'!C31</f>
        <v>563.92000000000007</v>
      </c>
      <c r="K28" s="203">
        <f>'2.Heat Targets'!D31</f>
        <v>597.75520000000006</v>
      </c>
      <c r="L28" s="203">
        <f>'2.Heat Targets'!E31</f>
        <v>633.62051200000008</v>
      </c>
      <c r="O28" s="203">
        <f>'2.Heat Targets'!B31</f>
        <v>532</v>
      </c>
      <c r="P28" s="203">
        <f>'2.Heat Targets'!C31</f>
        <v>563.92000000000007</v>
      </c>
      <c r="Q28" s="203">
        <f>'2.Heat Targets'!D31</f>
        <v>597.75520000000006</v>
      </c>
      <c r="R28" s="203">
        <f>'2.Heat Targets'!E31</f>
        <v>633.62051200000008</v>
      </c>
      <c r="T28" t="str">
        <f>'2.Heat Targets'!G31</f>
        <v>Enter a projection of the number of future residences in the area by each year.</v>
      </c>
    </row>
    <row r="29" spans="8:20" x14ac:dyDescent="0.25">
      <c r="I29" s="86">
        <f>'2.Heat Targets'!B32</f>
        <v>0.14173712884525227</v>
      </c>
      <c r="J29" s="87">
        <f>'2.Heat Targets'!C32</f>
        <v>0.21371426458685827</v>
      </c>
      <c r="K29" s="87">
        <f>'2.Heat Targets'!D32</f>
        <v>0.35083554483182072</v>
      </c>
      <c r="L29" s="88">
        <f>'2.Heat Targets'!E32</f>
        <v>0.35386254956741364</v>
      </c>
      <c r="O29" s="104">
        <f>O27/O28</f>
        <v>0.533991743344575</v>
      </c>
      <c r="P29" s="105">
        <f>P27/P28</f>
        <v>2.1817879776867937</v>
      </c>
      <c r="Q29" s="105">
        <f>Q27/Q28</f>
        <v>3.1033755666181859</v>
      </c>
      <c r="R29" s="106">
        <f>R27/R28</f>
        <v>6.2358683032972833</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143.28</v>
      </c>
      <c r="J34" s="94">
        <f>'2.Heat Targets'!C54</f>
        <v>135.62475504249875</v>
      </c>
      <c r="K34" s="94">
        <f>'2.Heat Targets'!D54</f>
        <v>130.71307078412417</v>
      </c>
      <c r="L34" s="95">
        <f>'2.Heat Targets'!E54</f>
        <v>130.60464347449522</v>
      </c>
      <c r="O34" s="107">
        <f>'1.Current Heat'!B10</f>
        <v>143.28</v>
      </c>
      <c r="P34" s="108">
        <f>P29*($O$34-$O$26)+(1-P29)*$O$34</f>
        <v>65.128354639259072</v>
      </c>
      <c r="Q34" s="108">
        <f>Q29*($O$34-$O$26)+(1-Q29)*$O$34</f>
        <v>32.117087203736617</v>
      </c>
      <c r="R34" s="110">
        <f>R29*($O$34-$O$26)+(1-R29)*$O$34</f>
        <v>-80.088802624108553</v>
      </c>
      <c r="T34" t="str">
        <f>'2.Heat Targets'!G54</f>
        <v>This is a projection of the average area residential heating load, in millions of Btu, computed based on values inputted above and in the "1.Current Heat" tab</v>
      </c>
    </row>
    <row r="35" spans="9:20" x14ac:dyDescent="0.25">
      <c r="I35" s="81">
        <f>'2.Heat Targets'!B55</f>
        <v>42199.875968992259</v>
      </c>
      <c r="J35" s="82">
        <f>'2.Heat Targets'!C55</f>
        <v>30634.155038759694</v>
      </c>
      <c r="K35" s="82">
        <f>'2.Heat Targets'!D55</f>
        <v>19483.968992248065</v>
      </c>
      <c r="L35" s="83">
        <f>'2.Heat Targets'!E55</f>
        <v>2931.8294573643416</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3.7678975131876416E-2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294.52733088353057</v>
      </c>
      <c r="J37" s="63">
        <f>'2.Heat Targets'!C57</f>
        <v>225.87436216316348</v>
      </c>
      <c r="K37" s="63">
        <f>'2.Heat Targets'!D57</f>
        <v>149.05907171614319</v>
      </c>
      <c r="L37" s="64">
        <f>'2.Heat Targets'!E57</f>
        <v>22.448125727910096</v>
      </c>
      <c r="O37" s="62">
        <f>O35/O34</f>
        <v>1946.8405347019452</v>
      </c>
      <c r="P37" s="62">
        <f>P35/P34</f>
        <v>3267.7732382915037</v>
      </c>
      <c r="Q37" s="62">
        <f>Q35/Q34</f>
        <v>4656.1133220570364</v>
      </c>
      <c r="R37" s="112">
        <f>R35/R34</f>
        <v>-615.0215018824689</v>
      </c>
      <c r="T37" t="str">
        <f>'2.Heat Targets'!G57</f>
        <v>This formula computes an estimate the number of residences using biofuel-blended heat energy in the 90x50 scenario based on values inputted in the "1.Current Heat" tab.</v>
      </c>
    </row>
    <row r="38" spans="9:20" x14ac:dyDescent="0.25">
      <c r="I38" s="65">
        <f>'2.Heat Targets'!B58</f>
        <v>0.55362280241265149</v>
      </c>
      <c r="J38" s="66">
        <f>'2.Heat Targets'!C58</f>
        <v>0.40054327238467063</v>
      </c>
      <c r="K38" s="66">
        <f>'2.Heat Targets'!D58</f>
        <v>0.24936474281803517</v>
      </c>
      <c r="L38" s="67">
        <f>'2.Heat Targets'!E58</f>
        <v>3.5428344415576768E-2</v>
      </c>
      <c r="O38" s="109">
        <f>O37/O28</f>
        <v>3.6594746892893708</v>
      </c>
      <c r="P38" s="109">
        <f>P37/P28</f>
        <v>5.7947461311737536</v>
      </c>
      <c r="Q38" s="109">
        <f>Q37/Q28</f>
        <v>7.789331355138418</v>
      </c>
      <c r="R38" s="113">
        <f>R37/R28</f>
        <v>-0.97064645199249611</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50210.465116279076</v>
      </c>
      <c r="J39" s="82">
        <f>'2.Heat Targets'!C59</f>
        <v>42084.449612403114</v>
      </c>
      <c r="K39" s="82">
        <f>'2.Heat Targets'!D59</f>
        <v>33358.217054263572</v>
      </c>
      <c r="L39" s="83">
        <f>'2.Heat Targets'!E59</f>
        <v>24147.193798449618</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350.43596535649829</v>
      </c>
      <c r="J40" s="63">
        <f>'2.Heat Targets'!C60</f>
        <v>310.30064975391645</v>
      </c>
      <c r="K40" s="63">
        <f>'2.Heat Targets'!D60</f>
        <v>255.20184671780439</v>
      </c>
      <c r="L40" s="64">
        <f>'2.Heat Targets'!E60</f>
        <v>184.88771268814142</v>
      </c>
      <c r="O40" s="62">
        <f>O39/O34</f>
        <v>1307.2400810132808</v>
      </c>
      <c r="P40" s="62">
        <f>P39/P34</f>
        <v>2970.1848721625388</v>
      </c>
      <c r="Q40" s="62">
        <f>Q39/Q34</f>
        <v>6076.4852202936581</v>
      </c>
      <c r="R40" s="112">
        <f>R39/R34</f>
        <v>-2491.7376222310454</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0.65871422059492157</v>
      </c>
      <c r="J41" s="66">
        <f>'2.Heat Targets'!C61</f>
        <v>0.55025650757894096</v>
      </c>
      <c r="K41" s="66">
        <f>'2.Heat Targets'!D61</f>
        <v>0.42693371252613838</v>
      </c>
      <c r="L41" s="67">
        <f>'2.Heat Targets'!E61</f>
        <v>0.29179565558026221</v>
      </c>
      <c r="O41" s="109">
        <f>O40/O28</f>
        <v>2.4572181973933849</v>
      </c>
      <c r="P41" s="109">
        <f>P40/P28</f>
        <v>5.2670323311152973</v>
      </c>
      <c r="Q41" s="109">
        <f>Q40/Q28</f>
        <v>10.165507920790413</v>
      </c>
      <c r="R41" s="113">
        <f>R40/R28</f>
        <v>-3.9325393907560953</v>
      </c>
      <c r="T41" t="str">
        <f>'2.Heat Targets'!G61</f>
        <v>This formula computes the estimated share of area residences using Wood heat  in the 90x50 scenario, based on values inputted in the "1.Current Heat" tab.</v>
      </c>
    </row>
    <row r="42" spans="9:20" x14ac:dyDescent="0.25">
      <c r="I42" s="81">
        <f>'2.Heat Targets'!B62</f>
        <v>900.32558139534899</v>
      </c>
      <c r="J42" s="82">
        <f>'2.Heat Targets'!C62</f>
        <v>3601.302325581396</v>
      </c>
      <c r="K42" s="82">
        <f>'2.Heat Targets'!D62</f>
        <v>7271.8604651162796</v>
      </c>
      <c r="L42" s="83">
        <f>'2.Heat Targets'!E62</f>
        <v>9141.7674418604656</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21.54404358447832</v>
      </c>
      <c r="J43" s="63">
        <f>'2.Heat Targets'!C63</f>
        <v>92.051887760240248</v>
      </c>
      <c r="K43" s="63">
        <f>'2.Heat Targets'!D63</f>
        <v>194.71282768607563</v>
      </c>
      <c r="L43" s="64">
        <f>'2.Heat Targets'!E63</f>
        <v>247.04375511586093</v>
      </c>
      <c r="O43" s="62">
        <f>O42/((0.7*O34)/2.4)</f>
        <v>145.18537873003342</v>
      </c>
      <c r="P43" s="112">
        <f>P42/((0.75*P34)/2.6)</f>
        <v>1509.5210925078809</v>
      </c>
      <c r="Q43" s="112">
        <f>Q42/((0.8*Q34)/2.8)</f>
        <v>7195.8502857584972</v>
      </c>
      <c r="R43" s="64">
        <f>R42/((0.85*R34)/3)</f>
        <v>-4387.0722647668799</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4.0496322527214891E-2</v>
      </c>
      <c r="J44" s="66">
        <f>'2.Heat Targets'!C64</f>
        <v>0.16323572095375272</v>
      </c>
      <c r="K44" s="66">
        <f>'2.Heat Targets'!D64</f>
        <v>0.32574008170246888</v>
      </c>
      <c r="L44" s="67">
        <f>'2.Heat Targets'!E64</f>
        <v>0.38989229426313288</v>
      </c>
      <c r="O44" s="109">
        <f>O43/O28</f>
        <v>0.27290484723690495</v>
      </c>
      <c r="P44" s="109">
        <f>P43/P28</f>
        <v>2.6768355307630172</v>
      </c>
      <c r="Q44" s="109">
        <f>Q43/Q28</f>
        <v>12.038122438346829</v>
      </c>
      <c r="R44" s="113">
        <f>R43/R28</f>
        <v>-6.9238166720948566</v>
      </c>
      <c r="T44" t="str">
        <f>'2.Heat Targets'!G64</f>
        <v>This formula computes the estimated share of area residences using Heat Pumps in the 90x50 scenario based on values inputted above and in the "1.Current Heat" tab.</v>
      </c>
    </row>
    <row r="45" spans="9:20" x14ac:dyDescent="0.25">
      <c r="I45" s="81">
        <f>'2.Heat Targets'!B65</f>
        <v>16321.286821705427</v>
      </c>
      <c r="J45" s="82">
        <f>'2.Heat Targets'!C65</f>
        <v>12766.155038759693</v>
      </c>
      <c r="K45" s="82">
        <f>'2.Heat Targets'!D65</f>
        <v>8172.1860465116297</v>
      </c>
      <c r="L45" s="83">
        <f>'2.Heat Targets'!E65</f>
        <v>2862.5736434108535</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113.91182873887094</v>
      </c>
      <c r="J46" s="63">
        <f>'2.Heat Targets'!C66</f>
        <v>94.128502092109585</v>
      </c>
      <c r="K46" s="63">
        <f>'2.Heat Targets'!D66</f>
        <v>62.520037188998451</v>
      </c>
      <c r="L46" s="64">
        <f>'2.Heat Targets'!E66</f>
        <v>21.917855041424033</v>
      </c>
      <c r="O46" s="62">
        <f>O45/O34</f>
        <v>1654.340457429307</v>
      </c>
      <c r="P46" s="62">
        <f>P45/P34</f>
        <v>2870.5444156154326</v>
      </c>
      <c r="Q46" s="62">
        <f>Q45/Q34</f>
        <v>3670.2010340263982</v>
      </c>
      <c r="R46" s="112">
        <f>R45/R34</f>
        <v>-373.65056646411028</v>
      </c>
      <c r="T46" t="str">
        <f>'2.Heat Targets'!G66</f>
        <v>This formula computes the estimates number of area residences using fossil heat in the 90x50 scenario based on values inputted in the "1.Current Heat" tab.</v>
      </c>
    </row>
    <row r="47" spans="9:20" x14ac:dyDescent="0.25">
      <c r="I47" s="65">
        <f>'2.Heat Targets'!B67</f>
        <v>0.21411997883246417</v>
      </c>
      <c r="J47" s="66">
        <f>'2.Heat Targets'!C67</f>
        <v>0.16691818359361182</v>
      </c>
      <c r="K47" s="66">
        <f>'2.Heat Targets'!D67</f>
        <v>0.10459137317249342</v>
      </c>
      <c r="L47" s="67">
        <f>'2.Heat Targets'!E67</f>
        <v>3.4591454390011968E-2</v>
      </c>
      <c r="O47" s="109">
        <f>O46/O28</f>
        <v>3.1096625139648628</v>
      </c>
      <c r="P47" s="109">
        <f>P46/P28</f>
        <v>5.0903397921964677</v>
      </c>
      <c r="Q47" s="109">
        <f>Q46/Q28</f>
        <v>6.1399734105640533</v>
      </c>
      <c r="R47" s="113">
        <f>R46/R28</f>
        <v>-0.58970718180302573</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F29" sqref="F29"/>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49" t="s">
        <v>492</v>
      </c>
      <c r="C3" s="250"/>
      <c r="D3" s="250"/>
      <c r="E3" s="250"/>
      <c r="F3" s="250"/>
      <c r="G3" s="250"/>
      <c r="H3" s="250"/>
      <c r="I3" s="250"/>
      <c r="J3" s="250"/>
      <c r="K3" s="251"/>
      <c r="O3" t="s">
        <v>213</v>
      </c>
    </row>
    <row r="4" spans="2:15" x14ac:dyDescent="0.25">
      <c r="B4" s="101"/>
      <c r="C4" s="228" t="s">
        <v>493</v>
      </c>
      <c r="D4" s="228"/>
      <c r="E4" s="228"/>
      <c r="F4" s="228"/>
      <c r="G4" s="228"/>
      <c r="H4" s="228"/>
      <c r="I4" s="228"/>
      <c r="J4" s="228"/>
      <c r="K4" s="239"/>
      <c r="O4" t="s">
        <v>246</v>
      </c>
    </row>
    <row r="5" spans="2:15" x14ac:dyDescent="0.25">
      <c r="B5" s="101"/>
      <c r="C5" s="228" t="s">
        <v>155</v>
      </c>
      <c r="D5" s="228"/>
      <c r="E5" s="228"/>
      <c r="F5" s="228"/>
      <c r="G5" s="228"/>
      <c r="H5" s="228"/>
      <c r="I5" s="228"/>
      <c r="J5" s="228"/>
      <c r="K5" s="239"/>
      <c r="O5" t="s">
        <v>285</v>
      </c>
    </row>
    <row r="6" spans="2:15" x14ac:dyDescent="0.25">
      <c r="B6" s="101"/>
      <c r="C6" s="102"/>
      <c r="D6" s="228" t="s">
        <v>153</v>
      </c>
      <c r="E6" s="228"/>
      <c r="F6" s="228"/>
      <c r="G6" s="228"/>
      <c r="H6" s="228"/>
      <c r="I6" s="228"/>
      <c r="J6" s="228"/>
      <c r="K6" s="239"/>
      <c r="O6" t="s">
        <v>290</v>
      </c>
    </row>
    <row r="7" spans="2:15" x14ac:dyDescent="0.25">
      <c r="B7" s="101"/>
      <c r="C7" s="102"/>
      <c r="D7" s="228" t="s">
        <v>154</v>
      </c>
      <c r="E7" s="228"/>
      <c r="F7" s="228"/>
      <c r="G7" s="228"/>
      <c r="H7" s="228"/>
      <c r="I7" s="228"/>
      <c r="J7" s="228"/>
      <c r="K7" s="239"/>
      <c r="O7" t="s">
        <v>323</v>
      </c>
    </row>
    <row r="8" spans="2:15" x14ac:dyDescent="0.25">
      <c r="B8" s="101"/>
      <c r="C8" s="102"/>
      <c r="D8" s="252" t="s">
        <v>156</v>
      </c>
      <c r="E8" s="252"/>
      <c r="F8" s="252"/>
      <c r="G8" s="252"/>
      <c r="H8" s="252"/>
      <c r="I8" s="252"/>
      <c r="J8" s="252"/>
      <c r="K8" s="253"/>
      <c r="O8" t="s">
        <v>324</v>
      </c>
    </row>
    <row r="9" spans="2:15" x14ac:dyDescent="0.25">
      <c r="B9" s="101"/>
      <c r="C9" s="102"/>
      <c r="D9" s="102"/>
      <c r="E9" s="102"/>
      <c r="F9" s="102"/>
      <c r="G9" s="102"/>
      <c r="H9" s="102"/>
      <c r="I9" s="102"/>
      <c r="J9" s="102"/>
      <c r="K9" s="103"/>
      <c r="O9" t="s">
        <v>397</v>
      </c>
    </row>
    <row r="10" spans="2:15" ht="15" customHeight="1" x14ac:dyDescent="0.25">
      <c r="B10" s="230" t="s">
        <v>468</v>
      </c>
      <c r="C10" s="231"/>
      <c r="D10" s="231"/>
      <c r="E10" s="231"/>
      <c r="F10" s="231"/>
      <c r="G10" s="231"/>
      <c r="H10" s="231"/>
      <c r="I10" s="254" t="s">
        <v>436</v>
      </c>
      <c r="J10" s="254"/>
      <c r="K10" s="254"/>
      <c r="O10" t="s">
        <v>431</v>
      </c>
    </row>
    <row r="11" spans="2:15" ht="15" customHeight="1" x14ac:dyDescent="0.25">
      <c r="B11" s="230" t="s">
        <v>469</v>
      </c>
      <c r="C11" s="231"/>
      <c r="D11" s="231"/>
      <c r="E11" s="231"/>
      <c r="F11" s="231"/>
      <c r="G11" s="231"/>
      <c r="H11" s="232"/>
      <c r="I11" s="240">
        <f>INDEX(town_population[Pop Share of State],MATCH(I10,town_population[Municipality]))</f>
        <v>2.3772347443474819E-3</v>
      </c>
      <c r="J11" s="241"/>
      <c r="K11" s="242"/>
      <c r="O11" t="s">
        <v>433</v>
      </c>
    </row>
    <row r="12" spans="2:15" ht="15" customHeight="1" x14ac:dyDescent="0.25">
      <c r="B12" s="204" t="s">
        <v>507</v>
      </c>
      <c r="C12" s="205"/>
      <c r="D12" s="205"/>
      <c r="E12" s="205"/>
      <c r="F12" s="205"/>
      <c r="G12" s="205"/>
      <c r="H12" s="205"/>
      <c r="I12" s="240">
        <f>INDEX(town_population[Pop Share of Region],MATCH(I10,town_population[Municipality],0))</f>
        <v>2.3085271317829462E-2</v>
      </c>
      <c r="J12" s="241"/>
      <c r="K12" s="242"/>
    </row>
    <row r="13" spans="2:15" ht="15" customHeight="1" x14ac:dyDescent="0.25">
      <c r="B13" s="246" t="s">
        <v>499</v>
      </c>
      <c r="C13" s="247"/>
      <c r="D13" s="247"/>
      <c r="E13" s="247"/>
      <c r="F13" s="247"/>
      <c r="G13" s="247"/>
      <c r="H13" s="247"/>
      <c r="I13" s="247"/>
      <c r="J13" s="247"/>
      <c r="K13" s="248"/>
    </row>
    <row r="14" spans="2:15" ht="15" customHeight="1" x14ac:dyDescent="0.25">
      <c r="B14" s="206" t="s">
        <v>513</v>
      </c>
      <c r="C14" s="207"/>
      <c r="D14" s="207"/>
      <c r="E14" s="207"/>
      <c r="F14" s="207"/>
      <c r="G14" s="207"/>
      <c r="H14" s="207"/>
      <c r="I14" s="243">
        <f>INDEX(town_establishments[share of state establishments],MATCH(I10,town_establishments[Municipality],0))</f>
        <v>7.8773238105241041E-4</v>
      </c>
      <c r="J14" s="244"/>
      <c r="K14" s="245"/>
    </row>
    <row r="15" spans="2:15" ht="15" customHeight="1" x14ac:dyDescent="0.25">
      <c r="B15" s="206" t="s">
        <v>514</v>
      </c>
      <c r="C15" s="207"/>
      <c r="D15" s="207"/>
      <c r="E15" s="207"/>
      <c r="F15" s="207"/>
      <c r="G15" s="207"/>
      <c r="H15" s="207"/>
      <c r="I15" s="240">
        <f>INDEX(town_establishments[share of regional establishments],MATCH(I10,town_establishments[Municipality],0))</f>
        <v>1.0281014393420149E-2</v>
      </c>
      <c r="J15" s="241"/>
      <c r="K15" s="242"/>
    </row>
    <row r="16" spans="2:15" ht="15" customHeight="1" x14ac:dyDescent="0.25">
      <c r="B16" s="246" t="s">
        <v>499</v>
      </c>
      <c r="C16" s="247"/>
      <c r="D16" s="247"/>
      <c r="E16" s="247"/>
      <c r="F16" s="247"/>
      <c r="G16" s="247"/>
      <c r="H16" s="247"/>
      <c r="I16" s="247"/>
      <c r="J16" s="247"/>
      <c r="K16" s="24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28" t="s">
        <v>157</v>
      </c>
      <c r="D20" s="228"/>
      <c r="E20" s="228"/>
      <c r="F20" s="228"/>
      <c r="G20" s="228"/>
      <c r="H20" s="228"/>
      <c r="I20" s="201" t="s">
        <v>497</v>
      </c>
      <c r="J20" s="102"/>
      <c r="K20" s="103"/>
    </row>
    <row r="21" spans="1:15" ht="15" customHeight="1" x14ac:dyDescent="0.25">
      <c r="B21" s="101"/>
      <c r="C21" s="228" t="s">
        <v>495</v>
      </c>
      <c r="D21" s="228"/>
      <c r="E21" s="228"/>
      <c r="F21" s="228"/>
      <c r="G21" s="228"/>
      <c r="H21" s="22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33" t="s">
        <v>501</v>
      </c>
      <c r="C23" s="234"/>
      <c r="D23" s="234"/>
      <c r="E23" s="234"/>
      <c r="F23" s="234"/>
      <c r="G23" s="234"/>
      <c r="H23" s="234"/>
      <c r="I23" s="234"/>
      <c r="J23" s="234"/>
      <c r="K23" s="235"/>
      <c r="O23" s="100"/>
    </row>
    <row r="24" spans="1:15" s="177" customFormat="1" x14ac:dyDescent="0.25">
      <c r="A24" s="199"/>
      <c r="B24" s="233"/>
      <c r="C24" s="234"/>
      <c r="D24" s="234"/>
      <c r="E24" s="234"/>
      <c r="F24" s="234"/>
      <c r="G24" s="234"/>
      <c r="H24" s="234"/>
      <c r="I24" s="234"/>
      <c r="J24" s="234"/>
      <c r="K24" s="235"/>
      <c r="O24" s="100"/>
    </row>
    <row r="25" spans="1:15" x14ac:dyDescent="0.25">
      <c r="B25" s="236"/>
      <c r="C25" s="237"/>
      <c r="D25" s="237"/>
      <c r="E25" s="237"/>
      <c r="F25" s="237"/>
      <c r="G25" s="237"/>
      <c r="H25" s="237"/>
      <c r="I25" s="237"/>
      <c r="J25" s="237"/>
      <c r="K25" s="23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26" zoomScale="70" zoomScaleNormal="70" workbookViewId="0">
      <selection activeCell="B38" sqref="B38"/>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77098.191955909089</v>
      </c>
      <c r="C5" s="255" t="s">
        <v>481</v>
      </c>
      <c r="D5" s="256"/>
      <c r="E5" s="256"/>
      <c r="F5" s="256"/>
      <c r="G5" s="256"/>
      <c r="H5" s="256"/>
      <c r="I5" s="256"/>
      <c r="J5" s="256"/>
      <c r="K5" s="256"/>
      <c r="L5" s="256"/>
      <c r="M5" s="256"/>
      <c r="N5" s="256"/>
    </row>
    <row r="7" spans="1:16" x14ac:dyDescent="0.25">
      <c r="C7" s="53" t="s">
        <v>70</v>
      </c>
    </row>
    <row r="8" spans="1:16" x14ac:dyDescent="0.25">
      <c r="C8" s="25"/>
    </row>
    <row r="9" spans="1:16" ht="36" customHeight="1" x14ac:dyDescent="0.25">
      <c r="A9" s="32">
        <v>1</v>
      </c>
      <c r="B9" s="116">
        <v>1027</v>
      </c>
      <c r="C9" s="258" t="s">
        <v>483</v>
      </c>
      <c r="D9" s="256"/>
      <c r="E9" s="256"/>
      <c r="F9" s="256"/>
      <c r="G9" s="256"/>
      <c r="H9" s="256"/>
      <c r="I9" s="256"/>
      <c r="J9" s="256"/>
      <c r="K9" s="256"/>
      <c r="L9" s="256"/>
      <c r="M9" s="256"/>
      <c r="N9" s="256"/>
    </row>
    <row r="10" spans="1:16" ht="36" customHeight="1" x14ac:dyDescent="0.25">
      <c r="B10" s="21"/>
      <c r="C10" s="31"/>
      <c r="D10" s="125" t="s">
        <v>60</v>
      </c>
      <c r="E10" s="259" t="s">
        <v>64</v>
      </c>
      <c r="F10" s="259"/>
      <c r="G10" s="257" t="s">
        <v>61</v>
      </c>
      <c r="H10" s="257"/>
      <c r="I10" s="257"/>
      <c r="J10" s="257"/>
      <c r="K10" s="257"/>
      <c r="L10" s="257"/>
      <c r="M10" s="257"/>
      <c r="N10" s="257"/>
    </row>
    <row r="11" spans="1:16" ht="36" customHeight="1" x14ac:dyDescent="0.25">
      <c r="B11" s="21"/>
      <c r="C11" s="31"/>
      <c r="D11" s="125"/>
      <c r="E11" s="257" t="s">
        <v>65</v>
      </c>
      <c r="F11" s="257"/>
      <c r="G11" s="257" t="s">
        <v>170</v>
      </c>
      <c r="H11" s="257"/>
      <c r="I11" s="257"/>
      <c r="J11" s="257"/>
      <c r="K11" s="257"/>
      <c r="L11" s="257"/>
      <c r="M11" s="257"/>
      <c r="N11" s="257"/>
    </row>
    <row r="12" spans="1:16" ht="36" customHeight="1" x14ac:dyDescent="0.25">
      <c r="B12" s="21"/>
      <c r="C12" s="31"/>
      <c r="D12" s="125" t="s">
        <v>62</v>
      </c>
      <c r="E12" s="257" t="s">
        <v>63</v>
      </c>
      <c r="F12" s="257"/>
      <c r="G12" s="257"/>
      <c r="H12" s="257"/>
      <c r="I12" s="257"/>
      <c r="J12" s="257"/>
      <c r="K12" s="257"/>
      <c r="L12" s="257"/>
      <c r="M12" s="257"/>
      <c r="N12" s="257"/>
    </row>
    <row r="13" spans="1:16" ht="36" customHeight="1" x14ac:dyDescent="0.25">
      <c r="A13" s="32">
        <v>2</v>
      </c>
      <c r="B13" s="116">
        <v>14000</v>
      </c>
      <c r="C13" s="260" t="s">
        <v>484</v>
      </c>
      <c r="D13" s="256"/>
      <c r="E13" s="256"/>
      <c r="F13" s="256"/>
      <c r="G13" s="256"/>
      <c r="H13" s="256"/>
      <c r="I13" s="256"/>
      <c r="J13" s="256"/>
      <c r="K13" s="256"/>
      <c r="L13" s="256"/>
      <c r="M13" s="256"/>
      <c r="N13" s="256"/>
      <c r="O13" s="34">
        <f>B13/12500</f>
        <v>1.1200000000000001</v>
      </c>
      <c r="P13" s="184" t="s">
        <v>544</v>
      </c>
    </row>
    <row r="14" spans="1:16" ht="36" customHeight="1" x14ac:dyDescent="0.25">
      <c r="A14" s="32">
        <v>3</v>
      </c>
      <c r="B14" s="116">
        <v>22</v>
      </c>
      <c r="C14" s="260" t="s">
        <v>485</v>
      </c>
      <c r="D14" s="256"/>
      <c r="E14" s="256"/>
      <c r="F14" s="256"/>
      <c r="G14" s="256"/>
      <c r="H14" s="256"/>
      <c r="I14" s="256"/>
      <c r="J14" s="256"/>
      <c r="K14" s="256"/>
      <c r="L14" s="256"/>
      <c r="M14" s="256"/>
      <c r="N14" s="256"/>
    </row>
    <row r="15" spans="1:16" s="118" customFormat="1" ht="36" customHeight="1" x14ac:dyDescent="0.25">
      <c r="A15" s="117"/>
      <c r="D15" s="119">
        <v>0.4</v>
      </c>
      <c r="E15" s="256" t="s">
        <v>172</v>
      </c>
      <c r="F15" s="256"/>
      <c r="G15" s="256"/>
      <c r="H15" s="256"/>
      <c r="I15" s="256"/>
      <c r="J15" s="256"/>
      <c r="K15" s="256"/>
      <c r="L15" s="256"/>
      <c r="M15" s="256"/>
      <c r="N15" s="256"/>
    </row>
    <row r="16" spans="1:16" s="118" customFormat="1" ht="36" customHeight="1" x14ac:dyDescent="0.25">
      <c r="A16" s="117"/>
      <c r="D16" s="119">
        <f>150000/583770</f>
        <v>0.25695051133151753</v>
      </c>
      <c r="E16" s="256" t="s">
        <v>173</v>
      </c>
      <c r="F16" s="256"/>
      <c r="G16" s="256"/>
      <c r="H16" s="256"/>
      <c r="I16" s="256"/>
      <c r="J16" s="256"/>
      <c r="K16" s="256"/>
      <c r="L16" s="256"/>
      <c r="M16" s="256"/>
      <c r="N16" s="256"/>
    </row>
    <row r="17" spans="1:14" s="118" customFormat="1" ht="36" customHeight="1" x14ac:dyDescent="0.25">
      <c r="A17" s="117"/>
      <c r="D17" s="119">
        <v>0.86</v>
      </c>
      <c r="E17" s="256" t="s">
        <v>171</v>
      </c>
      <c r="F17" s="256"/>
      <c r="G17" s="256"/>
      <c r="H17" s="256"/>
      <c r="I17" s="256"/>
      <c r="J17" s="256"/>
      <c r="K17" s="256"/>
      <c r="L17" s="256"/>
      <c r="M17" s="256"/>
      <c r="N17" s="256"/>
    </row>
    <row r="18" spans="1:14" ht="36" customHeight="1" x14ac:dyDescent="0.25">
      <c r="B18" s="120">
        <f>B9*B13/B14</f>
        <v>653545.45454545459</v>
      </c>
      <c r="C18" s="257" t="s">
        <v>43</v>
      </c>
      <c r="D18" s="257"/>
      <c r="E18" s="257"/>
      <c r="F18" s="257"/>
      <c r="G18" s="257"/>
      <c r="H18" s="257"/>
      <c r="I18" s="257"/>
      <c r="J18" s="257"/>
      <c r="K18" s="257"/>
      <c r="L18" s="257"/>
      <c r="M18" s="257"/>
      <c r="N18" s="257"/>
    </row>
    <row r="19" spans="1:14" ht="36" customHeight="1" x14ac:dyDescent="0.25">
      <c r="A19" s="32">
        <v>4</v>
      </c>
      <c r="B19" s="121">
        <v>0.09</v>
      </c>
      <c r="C19" s="260" t="s">
        <v>486</v>
      </c>
      <c r="D19" s="256"/>
      <c r="E19" s="256"/>
      <c r="F19" s="256"/>
      <c r="G19" s="256"/>
      <c r="H19" s="256"/>
      <c r="I19" s="256"/>
      <c r="J19" s="256"/>
      <c r="K19" s="256"/>
      <c r="L19" s="256"/>
      <c r="M19" s="256"/>
      <c r="N19" s="256"/>
    </row>
    <row r="20" spans="1:14" ht="36" customHeight="1" x14ac:dyDescent="0.25">
      <c r="B20" s="120">
        <f>(1-B19)*B18</f>
        <v>594726.36363636365</v>
      </c>
      <c r="C20" s="256" t="s">
        <v>73</v>
      </c>
      <c r="D20" s="256"/>
      <c r="E20" s="256"/>
      <c r="F20" s="256"/>
      <c r="G20" s="256"/>
      <c r="H20" s="256"/>
      <c r="I20" s="256"/>
      <c r="J20" s="256"/>
      <c r="K20" s="256"/>
      <c r="L20" s="256"/>
      <c r="M20" s="256"/>
      <c r="N20" s="256"/>
    </row>
    <row r="21" spans="1:14" ht="36" customHeight="1" x14ac:dyDescent="0.25">
      <c r="B21" s="120">
        <f>fossilBtu</f>
        <v>121258.5</v>
      </c>
      <c r="C21" s="256" t="s">
        <v>174</v>
      </c>
      <c r="D21" s="256"/>
      <c r="E21" s="256"/>
      <c r="F21" s="256"/>
      <c r="G21" s="256"/>
      <c r="H21" s="256"/>
      <c r="I21" s="256"/>
      <c r="J21" s="256"/>
      <c r="K21" s="256"/>
      <c r="L21" s="256"/>
      <c r="M21" s="256"/>
      <c r="N21" s="256"/>
    </row>
    <row r="22" spans="1:14" ht="36" customHeight="1" x14ac:dyDescent="0.25">
      <c r="B22" s="120">
        <f>B20*B21/1000000</f>
        <v>72115.626764999994</v>
      </c>
      <c r="C22" s="256" t="s">
        <v>66</v>
      </c>
      <c r="D22" s="256"/>
      <c r="E22" s="256"/>
      <c r="F22" s="256"/>
      <c r="G22" s="256"/>
      <c r="H22" s="256"/>
      <c r="I22" s="256"/>
      <c r="J22" s="256"/>
      <c r="K22" s="256"/>
      <c r="L22" s="256"/>
      <c r="M22" s="256"/>
      <c r="N22" s="256"/>
    </row>
    <row r="23" spans="1:14" ht="36" customHeight="1" x14ac:dyDescent="0.25">
      <c r="B23" s="120">
        <f>B18-B20</f>
        <v>58819.090909090941</v>
      </c>
      <c r="C23" s="256" t="s">
        <v>67</v>
      </c>
      <c r="D23" s="256"/>
      <c r="E23" s="256"/>
      <c r="F23" s="256"/>
      <c r="G23" s="256"/>
      <c r="H23" s="256"/>
      <c r="I23" s="256"/>
      <c r="J23" s="256"/>
      <c r="K23" s="256"/>
      <c r="L23" s="256"/>
      <c r="M23" s="256"/>
      <c r="N23" s="256"/>
    </row>
    <row r="24" spans="1:14" ht="36" customHeight="1" x14ac:dyDescent="0.25">
      <c r="B24" s="120">
        <v>84710</v>
      </c>
      <c r="C24" s="256" t="s">
        <v>68</v>
      </c>
      <c r="D24" s="256"/>
      <c r="E24" s="256"/>
      <c r="F24" s="256"/>
      <c r="G24" s="256"/>
      <c r="H24" s="256"/>
      <c r="I24" s="256"/>
      <c r="J24" s="256"/>
      <c r="K24" s="256"/>
      <c r="L24" s="256"/>
      <c r="M24" s="256"/>
      <c r="N24" s="256"/>
    </row>
    <row r="25" spans="1:14" ht="36" customHeight="1" x14ac:dyDescent="0.25">
      <c r="B25" s="120">
        <f>B23*B24/1000000</f>
        <v>4982.5651909090939</v>
      </c>
      <c r="C25" s="256" t="s">
        <v>69</v>
      </c>
      <c r="D25" s="256"/>
      <c r="E25" s="256"/>
      <c r="F25" s="256"/>
      <c r="G25" s="256"/>
      <c r="H25" s="256"/>
      <c r="I25" s="256"/>
      <c r="J25" s="256"/>
      <c r="K25" s="256"/>
      <c r="L25" s="256"/>
      <c r="M25" s="256"/>
      <c r="N25" s="256"/>
    </row>
    <row r="26" spans="1:14" ht="36" customHeight="1" x14ac:dyDescent="0.25">
      <c r="B26" s="122">
        <f>B22+B25</f>
        <v>77098.191955909089</v>
      </c>
      <c r="C26" s="255" t="s">
        <v>71</v>
      </c>
      <c r="D26" s="256"/>
      <c r="E26" s="256"/>
      <c r="F26" s="256"/>
      <c r="G26" s="256"/>
      <c r="H26" s="256"/>
      <c r="I26" s="256"/>
      <c r="J26" s="256"/>
      <c r="K26" s="256"/>
      <c r="L26" s="256"/>
      <c r="M26" s="256"/>
      <c r="N26" s="25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60" t="s">
        <v>502</v>
      </c>
      <c r="D32" s="256"/>
      <c r="E32" s="256"/>
      <c r="F32" s="256"/>
      <c r="G32" s="256"/>
      <c r="H32" s="256"/>
      <c r="I32" s="256"/>
      <c r="J32" s="256"/>
      <c r="K32" s="256"/>
      <c r="L32" s="256"/>
      <c r="M32" s="25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57" t="s">
        <v>78</v>
      </c>
      <c r="D34" s="257"/>
      <c r="E34" s="257"/>
      <c r="F34" s="257"/>
      <c r="G34" s="257"/>
      <c r="H34" s="257"/>
      <c r="I34" s="257"/>
      <c r="J34" s="257"/>
      <c r="K34" s="257"/>
      <c r="L34" s="257"/>
      <c r="M34" s="257"/>
      <c r="N34" s="257"/>
    </row>
    <row r="35" spans="2:14" ht="36" customHeight="1" x14ac:dyDescent="0.25">
      <c r="B35" s="120">
        <v>3</v>
      </c>
      <c r="C35" s="257" t="s">
        <v>74</v>
      </c>
      <c r="D35" s="257"/>
      <c r="E35" s="257"/>
      <c r="F35" s="257"/>
      <c r="G35" s="257"/>
      <c r="H35" s="257"/>
      <c r="I35" s="257"/>
      <c r="J35" s="257"/>
      <c r="K35" s="257"/>
      <c r="L35" s="257"/>
      <c r="M35" s="257"/>
      <c r="N35" s="257"/>
    </row>
    <row r="36" spans="2:14" ht="36" customHeight="1" x14ac:dyDescent="0.25">
      <c r="B36" s="120">
        <f>B32*B34/B35</f>
        <v>0</v>
      </c>
      <c r="C36" s="257" t="s">
        <v>72</v>
      </c>
      <c r="D36" s="257"/>
      <c r="E36" s="257"/>
      <c r="F36" s="257"/>
      <c r="G36" s="257"/>
      <c r="H36" s="257"/>
      <c r="I36" s="257"/>
      <c r="J36" s="257"/>
      <c r="K36" s="257"/>
      <c r="L36" s="257"/>
      <c r="M36" s="257"/>
      <c r="N36" s="257"/>
    </row>
    <row r="37" spans="2:14" ht="36" customHeight="1" x14ac:dyDescent="0.25">
      <c r="B37" s="120">
        <v>3412</v>
      </c>
      <c r="C37" s="257" t="s">
        <v>176</v>
      </c>
      <c r="D37" s="257"/>
      <c r="E37" s="257"/>
      <c r="F37" s="257"/>
      <c r="G37" s="257"/>
      <c r="H37" s="257"/>
      <c r="I37" s="257"/>
      <c r="J37" s="257"/>
      <c r="K37" s="257"/>
      <c r="L37" s="257"/>
      <c r="M37" s="257"/>
      <c r="N37" s="257"/>
    </row>
    <row r="38" spans="2:14" ht="36" customHeight="1" x14ac:dyDescent="0.25">
      <c r="B38" s="122">
        <f>B36*B37/1000000</f>
        <v>0</v>
      </c>
      <c r="C38" s="261" t="s">
        <v>75</v>
      </c>
      <c r="D38" s="257"/>
      <c r="E38" s="257"/>
      <c r="F38" s="257"/>
      <c r="G38" s="257"/>
      <c r="H38" s="257"/>
      <c r="I38" s="257"/>
      <c r="J38" s="257"/>
      <c r="K38" s="257"/>
      <c r="L38" s="257"/>
      <c r="M38" s="257"/>
      <c r="N38" s="25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88542.965860429438</v>
      </c>
      <c r="C4" s="255" t="s">
        <v>91</v>
      </c>
      <c r="D4" s="256"/>
      <c r="E4" s="256"/>
      <c r="F4" s="256"/>
      <c r="G4" s="256"/>
      <c r="H4" s="256"/>
      <c r="I4" s="256"/>
      <c r="J4" s="256"/>
      <c r="K4" s="256"/>
      <c r="L4" s="256"/>
      <c r="M4" s="256"/>
      <c r="N4" s="256"/>
    </row>
    <row r="5" spans="1:15" x14ac:dyDescent="0.25">
      <c r="A5" s="56"/>
      <c r="B5" s="54"/>
    </row>
    <row r="6" spans="1:15" ht="18.75" x14ac:dyDescent="0.3">
      <c r="B6" s="54"/>
      <c r="C6" s="51" t="s">
        <v>80</v>
      </c>
    </row>
    <row r="7" spans="1:15" x14ac:dyDescent="0.25">
      <c r="B7" s="54"/>
      <c r="C7" s="25"/>
    </row>
    <row r="8" spans="1:15" ht="42.75" customHeight="1" x14ac:dyDescent="0.25">
      <c r="A8" s="54">
        <v>1</v>
      </c>
      <c r="B8" s="36">
        <v>532</v>
      </c>
      <c r="C8" s="267" t="s">
        <v>79</v>
      </c>
      <c r="D8" s="257"/>
      <c r="E8" s="257"/>
      <c r="F8" s="257"/>
      <c r="G8" s="257"/>
      <c r="H8" s="257"/>
      <c r="I8" s="257"/>
      <c r="J8" s="257"/>
      <c r="K8" s="257"/>
      <c r="L8" s="257"/>
      <c r="M8" s="257"/>
      <c r="N8" s="257"/>
    </row>
    <row r="9" spans="1:15" ht="42.75" customHeight="1" x14ac:dyDescent="0.25">
      <c r="B9" s="56"/>
      <c r="C9" s="26"/>
      <c r="D9" s="57" t="s">
        <v>92</v>
      </c>
      <c r="E9" s="266" t="s">
        <v>64</v>
      </c>
      <c r="F9" s="266"/>
      <c r="G9" s="257" t="s">
        <v>81</v>
      </c>
      <c r="H9" s="257"/>
      <c r="I9" s="257"/>
      <c r="J9" s="257"/>
      <c r="K9" s="257"/>
      <c r="L9" s="257"/>
      <c r="M9" s="257"/>
      <c r="N9" s="257"/>
    </row>
    <row r="10" spans="1:15" ht="52.5" customHeight="1" x14ac:dyDescent="0.25">
      <c r="A10" s="54">
        <v>2</v>
      </c>
      <c r="B10" s="36">
        <v>143.28</v>
      </c>
      <c r="C10" s="263" t="s">
        <v>543</v>
      </c>
      <c r="D10" s="262"/>
      <c r="E10" s="262"/>
      <c r="F10" s="262"/>
      <c r="G10" s="262"/>
      <c r="H10" s="262"/>
      <c r="I10" s="262"/>
      <c r="J10" s="262"/>
      <c r="K10" s="262"/>
      <c r="L10" s="262"/>
      <c r="M10" s="262"/>
      <c r="N10" s="262"/>
      <c r="O10" s="212">
        <f>SUM('2.Heat Targets'!E58,'2.Heat Targets'!E61,'2.Heat Targets'!E64,'2.Heat Targets'!E67)</f>
        <v>0.75170774864898382</v>
      </c>
    </row>
    <row r="11" spans="1:15" ht="42.75" customHeight="1" x14ac:dyDescent="0.25">
      <c r="B11" s="54"/>
      <c r="C11" s="59"/>
      <c r="D11" s="33" t="s">
        <v>58</v>
      </c>
      <c r="E11" s="262" t="s">
        <v>86</v>
      </c>
      <c r="F11" s="262"/>
      <c r="G11" s="262"/>
      <c r="H11" s="262"/>
      <c r="I11" s="262"/>
      <c r="J11" s="262"/>
      <c r="K11" s="262"/>
      <c r="L11" s="262"/>
      <c r="M11" s="262"/>
      <c r="N11" s="262"/>
    </row>
    <row r="12" spans="1:15" ht="42.75" customHeight="1" x14ac:dyDescent="0.25">
      <c r="B12" s="56"/>
      <c r="C12" s="60"/>
      <c r="D12" s="34">
        <v>0.26</v>
      </c>
      <c r="E12" s="262" t="s">
        <v>83</v>
      </c>
      <c r="F12" s="262"/>
      <c r="G12" s="262"/>
      <c r="H12" s="262"/>
      <c r="I12" s="262"/>
      <c r="J12" s="262"/>
      <c r="K12" s="262"/>
      <c r="L12" s="262"/>
      <c r="M12" s="262"/>
      <c r="N12" s="262"/>
    </row>
    <row r="13" spans="1:15" ht="42.75" customHeight="1" x14ac:dyDescent="0.25">
      <c r="B13" s="56"/>
      <c r="C13" s="60"/>
      <c r="D13" s="34">
        <v>0.5</v>
      </c>
      <c r="E13" s="262" t="s">
        <v>84</v>
      </c>
      <c r="F13" s="262"/>
      <c r="G13" s="262"/>
      <c r="H13" s="262"/>
      <c r="I13" s="262"/>
      <c r="J13" s="262"/>
      <c r="K13" s="262"/>
      <c r="L13" s="262"/>
      <c r="M13" s="262"/>
      <c r="N13" s="262"/>
    </row>
    <row r="14" spans="1:15" ht="42.75" customHeight="1" x14ac:dyDescent="0.25">
      <c r="B14" s="56"/>
      <c r="C14" s="60"/>
      <c r="D14" s="34">
        <v>0.2</v>
      </c>
      <c r="E14" s="262" t="s">
        <v>85</v>
      </c>
      <c r="F14" s="262"/>
      <c r="G14" s="262"/>
      <c r="H14" s="262"/>
      <c r="I14" s="262"/>
      <c r="J14" s="262"/>
      <c r="K14" s="262"/>
      <c r="L14" s="262"/>
      <c r="M14" s="262"/>
      <c r="N14" s="262"/>
    </row>
    <row r="15" spans="1:15" ht="42.75" customHeight="1" x14ac:dyDescent="0.25">
      <c r="B15" s="56"/>
      <c r="C15" s="60"/>
      <c r="D15" s="35">
        <v>2.2999999999999998</v>
      </c>
      <c r="E15" s="262" t="s">
        <v>87</v>
      </c>
      <c r="F15" s="262"/>
      <c r="G15" s="262"/>
      <c r="H15" s="262"/>
      <c r="I15" s="262"/>
      <c r="J15" s="262"/>
      <c r="K15" s="262"/>
      <c r="L15" s="262"/>
      <c r="M15" s="262"/>
      <c r="N15" s="262"/>
    </row>
    <row r="16" spans="1:15" ht="42.75" customHeight="1" x14ac:dyDescent="0.25">
      <c r="B16" s="56"/>
      <c r="C16" s="60"/>
      <c r="D16" s="34">
        <f>(20000*1.25)/257000</f>
        <v>9.727626459143969E-2</v>
      </c>
      <c r="E16" s="262" t="s">
        <v>93</v>
      </c>
      <c r="F16" s="262"/>
      <c r="G16" s="262"/>
      <c r="H16" s="262"/>
      <c r="I16" s="262"/>
      <c r="J16" s="262"/>
      <c r="K16" s="262"/>
      <c r="L16" s="262"/>
      <c r="M16" s="262"/>
      <c r="N16" s="262"/>
    </row>
    <row r="17" spans="1:17" x14ac:dyDescent="0.25">
      <c r="B17" s="56"/>
      <c r="C17" s="27"/>
      <c r="F17" s="26"/>
      <c r="G17" s="27"/>
      <c r="H17" s="27"/>
      <c r="I17" s="27"/>
      <c r="J17" s="27"/>
      <c r="K17" s="27"/>
      <c r="L17" s="27"/>
    </row>
    <row r="18" spans="1:17" ht="42.75" customHeight="1" x14ac:dyDescent="0.25">
      <c r="B18" s="55">
        <f>B8*B10</f>
        <v>76224.960000000006</v>
      </c>
      <c r="C18" s="261" t="s">
        <v>90</v>
      </c>
      <c r="D18" s="257"/>
      <c r="E18" s="257"/>
      <c r="F18" s="257"/>
      <c r="G18" s="257"/>
      <c r="H18" s="257"/>
      <c r="I18" s="257"/>
      <c r="J18" s="257"/>
      <c r="K18" s="257"/>
      <c r="L18" s="257"/>
      <c r="M18" s="257"/>
      <c r="N18" s="25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15</v>
      </c>
      <c r="C22" s="258" t="s">
        <v>540</v>
      </c>
      <c r="D22" s="256"/>
      <c r="E22" s="256"/>
      <c r="F22" s="256"/>
      <c r="G22" s="256"/>
      <c r="H22" s="256"/>
      <c r="I22" s="256"/>
      <c r="J22" s="256"/>
      <c r="K22" s="256"/>
      <c r="L22" s="256"/>
      <c r="M22" s="256"/>
      <c r="N22" s="256"/>
    </row>
    <row r="23" spans="1:17" s="58" customFormat="1" ht="32.25" customHeight="1" x14ac:dyDescent="0.25">
      <c r="A23" s="54"/>
      <c r="B23" s="54"/>
      <c r="D23" s="58" t="s">
        <v>60</v>
      </c>
      <c r="E23" s="28" t="s">
        <v>88</v>
      </c>
      <c r="G23" s="58" t="s">
        <v>89</v>
      </c>
    </row>
    <row r="24" spans="1:17" ht="78" customHeight="1" x14ac:dyDescent="0.25">
      <c r="A24" s="54">
        <v>2</v>
      </c>
      <c r="B24" s="36">
        <f ca="1">L41</f>
        <v>821.20039069529525</v>
      </c>
      <c r="C24" s="264" t="s">
        <v>541</v>
      </c>
      <c r="D24" s="265"/>
      <c r="E24" s="265"/>
      <c r="F24" s="265"/>
      <c r="G24" s="265"/>
      <c r="H24" s="265"/>
      <c r="I24" s="265"/>
      <c r="J24" s="265"/>
      <c r="K24" s="265"/>
      <c r="L24" s="265"/>
      <c r="M24" s="265"/>
      <c r="N24" s="265"/>
      <c r="O24" s="212">
        <f ca="1">SUM('2.Heat Targets'!E76,'2.Heat Targets'!E79,'2.Heat Targets'!E82,'2.Heat Targets'!E85)</f>
        <v>0.59807969861426424</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5</v>
      </c>
      <c r="L27" s="39">
        <f t="shared" ref="L27:L40" ca="1" si="1">IF(K27="","",K27/$K$41)</f>
        <v>0.33333333333333331</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1</v>
      </c>
      <c r="L29" s="41">
        <f t="shared" ca="1" si="1"/>
        <v>6.6666666666666666E-2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1</v>
      </c>
      <c r="L30" s="41">
        <f t="shared" ca="1" si="1"/>
        <v>6.6666666666666666E-2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2</v>
      </c>
      <c r="L33" s="41">
        <f t="shared" ca="1" si="1"/>
        <v>0.13333333333333333</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v>
      </c>
      <c r="L35" s="41">
        <f t="shared" ca="1" si="1"/>
        <v>6.6666666666666666E-2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6.6666666666666666E-2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v>
      </c>
      <c r="L37" s="41">
        <f t="shared" ca="1" si="1"/>
        <v>6.6666666666666666E-2</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1</v>
      </c>
      <c r="L39" s="41">
        <f t="shared" ca="1" si="1"/>
        <v>6.6666666666666666E-2</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2</v>
      </c>
      <c r="L40" s="41">
        <f t="shared" ca="1" si="1"/>
        <v>0.13333333333333333</v>
      </c>
      <c r="Q40" s="23"/>
    </row>
    <row r="41" spans="2:19" ht="33" customHeight="1" x14ac:dyDescent="0.25">
      <c r="B41" s="54"/>
      <c r="D41" s="42"/>
      <c r="E41" s="185">
        <f>SUM(E27:E40)</f>
        <v>18617</v>
      </c>
      <c r="F41" s="185"/>
      <c r="G41" s="185">
        <f>SUM(G27:G40)</f>
        <v>201453</v>
      </c>
      <c r="H41" s="43"/>
      <c r="I41" s="44">
        <v>13000000</v>
      </c>
      <c r="J41" s="43"/>
      <c r="K41" s="185">
        <f ca="1">SUM(K27:K40)</f>
        <v>15</v>
      </c>
      <c r="L41" s="45">
        <f ca="1">SUMPRODUCT(J27:J40,L27:L40)</f>
        <v>821.20039069529525</v>
      </c>
      <c r="M41" s="268" t="s">
        <v>542</v>
      </c>
      <c r="N41" s="269"/>
      <c r="O41" s="269"/>
      <c r="P41" s="269"/>
      <c r="Q41" s="269"/>
      <c r="R41" s="269"/>
      <c r="S41" s="269"/>
    </row>
    <row r="42" spans="2:19" ht="22.5" customHeight="1" x14ac:dyDescent="0.25">
      <c r="B42" s="54"/>
    </row>
    <row r="43" spans="2:19" ht="37.5" customHeight="1" x14ac:dyDescent="0.25">
      <c r="B43" s="55">
        <f ca="1">B22*B24</f>
        <v>12318.005860429428</v>
      </c>
      <c r="C43" s="261" t="s">
        <v>488</v>
      </c>
      <c r="D43" s="257"/>
      <c r="E43" s="257"/>
      <c r="F43" s="257"/>
      <c r="G43" s="257"/>
      <c r="H43" s="257"/>
      <c r="I43" s="257"/>
      <c r="J43" s="257"/>
      <c r="K43" s="257"/>
      <c r="L43" s="257"/>
      <c r="M43" s="257"/>
      <c r="N43" s="257"/>
    </row>
    <row r="45" spans="2:19" ht="37.5" customHeight="1" x14ac:dyDescent="0.25">
      <c r="B45" s="194">
        <f ca="1">SUMPRODUCT(K27:K40,H27:H40)/SUMPRODUCT(E27:E40,H27:H40)</f>
        <v>7.3111680339772397E-4</v>
      </c>
      <c r="C45" s="256" t="s">
        <v>489</v>
      </c>
      <c r="D45" s="256"/>
      <c r="E45" s="256"/>
      <c r="F45" s="256"/>
      <c r="G45" s="256"/>
      <c r="H45" s="256"/>
      <c r="I45" s="256"/>
      <c r="J45" s="256"/>
      <c r="K45" s="256"/>
      <c r="L45" s="256"/>
      <c r="M45" s="256"/>
      <c r="N45" s="256"/>
      <c r="O45" s="256"/>
    </row>
    <row r="52" spans="4:4" x14ac:dyDescent="0.25">
      <c r="D52" s="23"/>
    </row>
  </sheetData>
  <mergeCells count="17">
    <mergeCell ref="E14:N14"/>
    <mergeCell ref="E13:N13"/>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76" t="s">
        <v>491</v>
      </c>
      <c r="C4" s="277"/>
      <c r="D4" s="277"/>
      <c r="E4" s="277"/>
      <c r="F4" s="277"/>
      <c r="G4" s="277"/>
      <c r="H4" s="277"/>
      <c r="I4" s="277"/>
      <c r="J4" s="277"/>
      <c r="K4" s="277"/>
      <c r="L4" s="277"/>
      <c r="M4" s="277"/>
      <c r="N4" s="278"/>
    </row>
    <row r="5" spans="2:15" ht="19.5" customHeight="1" x14ac:dyDescent="0.25">
      <c r="B5" s="279"/>
      <c r="C5" s="280"/>
      <c r="D5" s="280"/>
      <c r="E5" s="280"/>
      <c r="F5" s="280"/>
      <c r="G5" s="280"/>
      <c r="H5" s="280"/>
      <c r="I5" s="280"/>
      <c r="J5" s="280"/>
      <c r="K5" s="280"/>
      <c r="L5" s="280"/>
      <c r="M5" s="280"/>
      <c r="N5" s="281"/>
    </row>
    <row r="6" spans="2:15" ht="19.5" customHeight="1" x14ac:dyDescent="0.25">
      <c r="B6" s="282"/>
      <c r="C6" s="283"/>
      <c r="D6" s="283"/>
      <c r="E6" s="283"/>
      <c r="F6" s="283"/>
      <c r="G6" s="283"/>
      <c r="H6" s="283"/>
      <c r="I6" s="283"/>
      <c r="J6" s="283"/>
      <c r="K6" s="283"/>
      <c r="L6" s="283"/>
      <c r="M6" s="283"/>
      <c r="N6" s="28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85" t="s">
        <v>150</v>
      </c>
      <c r="N11" s="286"/>
      <c r="O11" s="287"/>
    </row>
    <row r="12" spans="2:15" x14ac:dyDescent="0.25">
      <c r="B12" s="1">
        <v>100</v>
      </c>
      <c r="C12" s="2" t="s">
        <v>99</v>
      </c>
      <c r="D12" s="2"/>
      <c r="E12" s="2"/>
      <c r="F12" s="2"/>
      <c r="G12" s="2"/>
      <c r="H12" s="2"/>
      <c r="I12" s="2"/>
      <c r="J12" s="2"/>
      <c r="K12" s="3"/>
      <c r="M12" s="288"/>
      <c r="N12" s="289"/>
      <c r="O12" s="29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85" t="s">
        <v>168</v>
      </c>
      <c r="N14" s="286"/>
      <c r="O14" s="287"/>
    </row>
    <row r="15" spans="2:15" x14ac:dyDescent="0.25">
      <c r="B15" s="1">
        <v>100</v>
      </c>
      <c r="C15" s="114" t="s">
        <v>164</v>
      </c>
      <c r="D15" s="2"/>
      <c r="E15" s="2"/>
      <c r="F15" s="2"/>
      <c r="G15" s="2"/>
      <c r="H15" s="2"/>
      <c r="I15" s="2"/>
      <c r="J15" s="2"/>
      <c r="K15" s="3"/>
      <c r="M15" s="288"/>
      <c r="N15" s="289"/>
      <c r="O15" s="29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85" t="s">
        <v>169</v>
      </c>
      <c r="N17" s="286"/>
      <c r="O17" s="287"/>
    </row>
    <row r="18" spans="2:18" x14ac:dyDescent="0.25">
      <c r="B18" s="1">
        <v>100</v>
      </c>
      <c r="C18" s="2" t="s">
        <v>161</v>
      </c>
      <c r="D18" s="2"/>
      <c r="E18" s="2"/>
      <c r="F18" s="2"/>
      <c r="G18" s="2"/>
      <c r="H18" s="2"/>
      <c r="I18" s="2"/>
      <c r="J18" s="2"/>
      <c r="K18" s="3"/>
      <c r="M18" s="288"/>
      <c r="N18" s="289"/>
      <c r="O18" s="29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117434.77519379847</v>
      </c>
      <c r="C24" s="129">
        <f>'LEAP Region'!C14*1000</f>
        <v>98458.682170542656</v>
      </c>
      <c r="D24" s="129">
        <f>'LEAP Region'!D14*1000</f>
        <v>81352.496124031022</v>
      </c>
      <c r="E24" s="130">
        <f>'LEAP Region'!E14*1000</f>
        <v>55520.077519379847</v>
      </c>
      <c r="G24" s="291" t="s">
        <v>122</v>
      </c>
      <c r="H24" s="291"/>
      <c r="I24" s="291"/>
      <c r="J24" s="291"/>
      <c r="K24" s="291"/>
      <c r="L24" s="291"/>
      <c r="M24" s="291"/>
      <c r="N24" s="291"/>
    </row>
    <row r="25" spans="2:18" ht="56.25" customHeight="1" x14ac:dyDescent="0.25">
      <c r="B25" s="178">
        <f>('LEAP Region'!B7+'LEAP Region'!B8)*(2.4-1)*1000</f>
        <v>937.262015503876</v>
      </c>
      <c r="C25" s="179">
        <f>('LEAP Region'!C7+'LEAP Region'!C8)*(2.6-1)*1000</f>
        <v>5023.3550387596906</v>
      </c>
      <c r="D25" s="179">
        <f>('LEAP Region'!D7+'LEAP Region'!D8)*(2.8-1)*1000</f>
        <v>9889.7302325581404</v>
      </c>
      <c r="E25" s="180">
        <f>('LEAP Region'!E7+'LEAP Region'!E8)*(2.3-1)*1000</f>
        <v>10593.831007751938</v>
      </c>
      <c r="G25" s="291" t="s">
        <v>178</v>
      </c>
      <c r="H25" s="291"/>
      <c r="I25" s="291"/>
      <c r="J25" s="291"/>
      <c r="K25" s="291"/>
      <c r="L25" s="291"/>
      <c r="M25" s="291"/>
      <c r="N25" s="291"/>
    </row>
    <row r="26" spans="2:18" ht="56.25" customHeight="1" x14ac:dyDescent="0.25">
      <c r="B26" s="128">
        <f>'LEAP Region'!H14*1000</f>
        <v>114410.60465116281</v>
      </c>
      <c r="C26" s="129">
        <f>'LEAP Region'!I14*1000</f>
        <v>93403.007751937999</v>
      </c>
      <c r="D26" s="129">
        <f>'LEAP Region'!J14*1000</f>
        <v>70640.930232558167</v>
      </c>
      <c r="E26" s="130">
        <f>'LEAP Region'!K14*1000</f>
        <v>39799.007751937992</v>
      </c>
      <c r="G26" s="291" t="s">
        <v>123</v>
      </c>
      <c r="H26" s="291"/>
      <c r="I26" s="291"/>
      <c r="J26" s="291"/>
      <c r="K26" s="291"/>
      <c r="L26" s="291"/>
      <c r="M26" s="291"/>
      <c r="N26" s="291"/>
    </row>
    <row r="27" spans="2:18" ht="56.25" customHeight="1" thickBot="1" x14ac:dyDescent="0.3">
      <c r="B27" s="181">
        <f>('LEAP Region'!H7+'LEAP Region'!H8)*(2.4-1)*1000</f>
        <v>1260.4558139534886</v>
      </c>
      <c r="C27" s="182">
        <f>('LEAP Region'!I7+'LEAP Region'!I8)*(2.6-1)*1000</f>
        <v>5762.0837209302344</v>
      </c>
      <c r="D27" s="182">
        <f>('LEAP Region'!J7+'LEAP Region'!J8)*(2.8-1)*1000</f>
        <v>13089.348837209302</v>
      </c>
      <c r="E27" s="183">
        <f>('LEAP Region'!K7+'LEAP Region'!K8)*(3-1)*1000</f>
        <v>18283.534883720931</v>
      </c>
      <c r="G27" s="291" t="s">
        <v>178</v>
      </c>
      <c r="H27" s="291"/>
      <c r="I27" s="291"/>
      <c r="J27" s="291"/>
      <c r="K27" s="291"/>
      <c r="L27" s="291"/>
      <c r="M27" s="291"/>
      <c r="N27" s="291"/>
    </row>
    <row r="28" spans="2:18" ht="56.25" customHeight="1" thickTop="1" x14ac:dyDescent="0.25">
      <c r="B28" s="128">
        <f>B24+B25-B26-B27</f>
        <v>2700.9767441860504</v>
      </c>
      <c r="C28" s="129">
        <f>C24+C25-C26-C27</f>
        <v>4316.9457364341133</v>
      </c>
      <c r="D28" s="129">
        <f>D24+D25-D26-D27</f>
        <v>7511.9472868216944</v>
      </c>
      <c r="E28" s="130">
        <f>E24+E25-E26-E27</f>
        <v>8031.3658914728658</v>
      </c>
      <c r="G28" s="291" t="s">
        <v>177</v>
      </c>
      <c r="H28" s="291"/>
      <c r="I28" s="291"/>
      <c r="J28" s="291"/>
      <c r="K28" s="291"/>
      <c r="L28" s="291"/>
      <c r="M28" s="291"/>
      <c r="N28" s="291"/>
    </row>
    <row r="29" spans="2:18" ht="56.25" customHeight="1" x14ac:dyDescent="0.25">
      <c r="B29" s="270">
        <f>0.25*'1.Current Heat'!B10</f>
        <v>35.82</v>
      </c>
      <c r="C29" s="271"/>
      <c r="D29" s="271"/>
      <c r="E29" s="272"/>
      <c r="G29" s="291" t="s">
        <v>124</v>
      </c>
      <c r="H29" s="291"/>
      <c r="I29" s="291"/>
      <c r="J29" s="291"/>
      <c r="K29" s="291"/>
      <c r="L29" s="291"/>
      <c r="M29" s="291"/>
      <c r="N29" s="291"/>
      <c r="R29">
        <v>60</v>
      </c>
    </row>
    <row r="30" spans="2:18" ht="56.25" customHeight="1" x14ac:dyDescent="0.25">
      <c r="B30" s="128">
        <f>B28/$B$29</f>
        <v>75.404152545674208</v>
      </c>
      <c r="C30" s="129">
        <f>C28/$B$29</f>
        <v>120.51774808582114</v>
      </c>
      <c r="D30" s="129">
        <f>D28/$B$29</f>
        <v>209.71377126805399</v>
      </c>
      <c r="E30" s="130">
        <f>E28/$B$29</f>
        <v>224.21456983453004</v>
      </c>
      <c r="G30" s="291" t="s">
        <v>125</v>
      </c>
      <c r="H30" s="291"/>
      <c r="I30" s="291"/>
      <c r="J30" s="291"/>
      <c r="K30" s="291"/>
      <c r="L30" s="291"/>
      <c r="M30" s="291"/>
      <c r="N30" s="291"/>
      <c r="R30">
        <v>96</v>
      </c>
    </row>
    <row r="31" spans="2:18" ht="56.25" customHeight="1" x14ac:dyDescent="0.25">
      <c r="B31" s="131">
        <f>'1.Current Heat'!B8</f>
        <v>532</v>
      </c>
      <c r="C31" s="132">
        <f t="shared" ref="C31:E31" si="0">B31*1.06</f>
        <v>563.92000000000007</v>
      </c>
      <c r="D31" s="132">
        <f t="shared" si="0"/>
        <v>597.75520000000006</v>
      </c>
      <c r="E31" s="133">
        <f t="shared" si="0"/>
        <v>633.62051200000008</v>
      </c>
      <c r="G31" s="291" t="s">
        <v>126</v>
      </c>
      <c r="H31" s="291"/>
      <c r="I31" s="291"/>
      <c r="J31" s="291"/>
      <c r="K31" s="291"/>
      <c r="L31" s="291"/>
      <c r="M31" s="291"/>
      <c r="N31" s="291"/>
      <c r="O31" s="186">
        <f>(E31/B31)^(1/(E23-B23))-1</f>
        <v>5.006971033976404E-3</v>
      </c>
      <c r="R31">
        <f>R29+R30</f>
        <v>156</v>
      </c>
    </row>
    <row r="32" spans="2:18" ht="56.25" customHeight="1" x14ac:dyDescent="0.25">
      <c r="B32" s="134">
        <f>B30/B31</f>
        <v>0.14173712884525227</v>
      </c>
      <c r="C32" s="135">
        <f>C30/C31</f>
        <v>0.21371426458685827</v>
      </c>
      <c r="D32" s="135">
        <f>D30/D31</f>
        <v>0.35083554483182072</v>
      </c>
      <c r="E32" s="136">
        <f>E30/E31</f>
        <v>0.35386254956741364</v>
      </c>
      <c r="G32" s="291" t="s">
        <v>183</v>
      </c>
      <c r="H32" s="291"/>
      <c r="I32" s="291"/>
      <c r="J32" s="291"/>
      <c r="K32" s="291"/>
      <c r="L32" s="291"/>
      <c r="M32" s="291"/>
      <c r="N32" s="29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9263.1939684715508</v>
      </c>
      <c r="C37" s="129">
        <f>('LEAP Region'!O11-'LEAP Region'!O6)*1000</f>
        <v>8810.8293351610664</v>
      </c>
      <c r="D37" s="129">
        <f>('LEAP Region'!P11-'LEAP Region'!P6)*1000</f>
        <v>8152.8444139821768</v>
      </c>
      <c r="E37" s="130">
        <f>('LEAP Region'!Q11-'LEAP Region'!Q6)*1000</f>
        <v>7237.834132967786</v>
      </c>
      <c r="G37" s="291" t="s">
        <v>179</v>
      </c>
      <c r="H37" s="291"/>
      <c r="I37" s="291"/>
      <c r="J37" s="291"/>
      <c r="K37" s="291"/>
      <c r="L37" s="291"/>
      <c r="M37" s="291"/>
      <c r="N37" s="291"/>
    </row>
    <row r="38" spans="2:34" ht="56.25" customHeight="1" x14ac:dyDescent="0.25">
      <c r="B38" s="128">
        <f>'LEAP Region'!N6*1000</f>
        <v>7751.8848526387919</v>
      </c>
      <c r="C38" s="129">
        <f>'LEAP Region'!O6*1000</f>
        <v>8245.3735435229592</v>
      </c>
      <c r="D38" s="129">
        <f>'LEAP Region'!P6*1000</f>
        <v>8605.2090472926648</v>
      </c>
      <c r="E38" s="130">
        <f>'LEAP Region'!Q6*1000</f>
        <v>9366.0041124057552</v>
      </c>
      <c r="F38" s="184"/>
      <c r="G38" s="291" t="s">
        <v>97</v>
      </c>
      <c r="H38" s="291"/>
      <c r="I38" s="291"/>
      <c r="J38" s="291"/>
      <c r="K38" s="291"/>
      <c r="L38" s="291"/>
      <c r="M38" s="291"/>
      <c r="N38" s="291"/>
    </row>
    <row r="39" spans="2:34" ht="56.25" customHeight="1" x14ac:dyDescent="0.25">
      <c r="B39" s="128">
        <f>0.005*B38</f>
        <v>38.759424263193964</v>
      </c>
      <c r="C39" s="129">
        <f>B39-(($B$39-$E$39)/3)</f>
        <v>181.93968471555854</v>
      </c>
      <c r="D39" s="129">
        <f>C39-(($B$39-$E$39)/3)</f>
        <v>325.11994516792311</v>
      </c>
      <c r="E39" s="130">
        <f>0.05*E38</f>
        <v>468.30020562028778</v>
      </c>
      <c r="G39" s="291" t="s">
        <v>195</v>
      </c>
      <c r="H39" s="291"/>
      <c r="I39" s="291"/>
      <c r="J39" s="291"/>
      <c r="K39" s="291"/>
      <c r="L39" s="291"/>
      <c r="M39" s="291"/>
      <c r="N39" s="291"/>
      <c r="V39" s="21"/>
      <c r="W39" s="21"/>
      <c r="X39" s="21"/>
      <c r="Y39" s="21"/>
      <c r="AH39" s="21"/>
    </row>
    <row r="40" spans="2:34" ht="56.25" customHeight="1" x14ac:dyDescent="0.25">
      <c r="B40" s="142">
        <f>B39*(2.4-1)</f>
        <v>54.263193968471548</v>
      </c>
      <c r="C40" s="143">
        <f>C39*(2.6-1)</f>
        <v>291.10349554489369</v>
      </c>
      <c r="D40" s="143">
        <f>D39*(2.8-1)</f>
        <v>585.2159013022615</v>
      </c>
      <c r="E40" s="144">
        <f>E39*(3-1)</f>
        <v>936.60041124057557</v>
      </c>
      <c r="G40" s="291" t="s">
        <v>196</v>
      </c>
      <c r="H40" s="291"/>
      <c r="I40" s="291"/>
      <c r="J40" s="291"/>
      <c r="K40" s="291"/>
      <c r="L40" s="291"/>
      <c r="M40" s="291"/>
      <c r="N40" s="291"/>
      <c r="V40" s="21"/>
      <c r="W40" s="21"/>
      <c r="X40" s="21"/>
      <c r="Y40" s="21"/>
      <c r="AH40" s="21"/>
    </row>
    <row r="41" spans="2:34" ht="56.25" customHeight="1" x14ac:dyDescent="0.25">
      <c r="B41" s="128">
        <f>('LEAP Region'!T11-'LEAP Region'!T6)*1000</f>
        <v>9232.3509252912954</v>
      </c>
      <c r="C41" s="129">
        <f>('LEAP Region'!U11-'LEAP Region'!U6)*1000</f>
        <v>8584.6470185058242</v>
      </c>
      <c r="D41" s="129">
        <f>('LEAP Region'!V11-'LEAP Region'!V6)*1000</f>
        <v>7721.0418094585311</v>
      </c>
      <c r="E41" s="130">
        <f>('LEAP Region'!W11-'LEAP Region'!W6)*1000</f>
        <v>6477.0390678546937</v>
      </c>
      <c r="G41" s="291" t="s">
        <v>197</v>
      </c>
      <c r="H41" s="291"/>
      <c r="I41" s="291"/>
      <c r="J41" s="291"/>
      <c r="K41" s="291"/>
      <c r="L41" s="291"/>
      <c r="M41" s="291"/>
      <c r="N41" s="291"/>
      <c r="AH41" s="21"/>
    </row>
    <row r="42" spans="2:34" ht="56.25" customHeight="1" x14ac:dyDescent="0.25">
      <c r="B42" s="128">
        <f>'LEAP Region'!T6*1000</f>
        <v>7649.0747087045911</v>
      </c>
      <c r="C42" s="129">
        <f>'LEAP Region'!U6*1000</f>
        <v>7577.1076079506493</v>
      </c>
      <c r="D42" s="129">
        <f>'LEAP Region'!V6*1000</f>
        <v>7340.6442769019859</v>
      </c>
      <c r="E42" s="130">
        <f>'LEAP Region'!W6*1000</f>
        <v>7114.4619602467428</v>
      </c>
      <c r="G42" s="291" t="s">
        <v>98</v>
      </c>
      <c r="H42" s="291"/>
      <c r="I42" s="291"/>
      <c r="J42" s="291"/>
      <c r="K42" s="291"/>
      <c r="L42" s="291"/>
      <c r="M42" s="291"/>
      <c r="N42" s="291"/>
      <c r="V42" s="29"/>
      <c r="W42" s="29"/>
      <c r="X42" s="29"/>
      <c r="Y42" s="29"/>
      <c r="AH42" s="21"/>
    </row>
    <row r="43" spans="2:34" ht="56.25" customHeight="1" x14ac:dyDescent="0.25">
      <c r="B43" s="128">
        <f>B39</f>
        <v>38.759424263193964</v>
      </c>
      <c r="C43" s="129">
        <f>B43-(($B$43-$E$43)/3)</f>
        <v>218.34589901759199</v>
      </c>
      <c r="D43" s="129">
        <f>C43-(($B$43-$E$43)/3)</f>
        <v>397.93237377199</v>
      </c>
      <c r="E43" s="130">
        <f>0.8*((E37+E39+E40-E41)/3)</f>
        <v>577.51884852638807</v>
      </c>
      <c r="G43" s="291" t="s">
        <v>142</v>
      </c>
      <c r="H43" s="291"/>
      <c r="I43" s="291"/>
      <c r="J43" s="291"/>
      <c r="K43" s="291"/>
      <c r="L43" s="291"/>
      <c r="M43" s="291"/>
      <c r="N43" s="291"/>
      <c r="AH43" s="21"/>
    </row>
    <row r="44" spans="2:34" ht="56.25" customHeight="1" x14ac:dyDescent="0.25">
      <c r="B44" s="128">
        <f>B43*(2.4-1)</f>
        <v>54.263193968471548</v>
      </c>
      <c r="C44" s="129">
        <f>C43*(2.6-1)</f>
        <v>349.35343842814723</v>
      </c>
      <c r="D44" s="129">
        <f>D43*(2.8-1)</f>
        <v>716.27827278958193</v>
      </c>
      <c r="E44" s="130">
        <f>E43*(3-1)</f>
        <v>1155.0376970527761</v>
      </c>
      <c r="F44" s="21"/>
      <c r="G44" s="291" t="s">
        <v>96</v>
      </c>
      <c r="H44" s="291"/>
      <c r="I44" s="291"/>
      <c r="J44" s="291"/>
      <c r="K44" s="291"/>
      <c r="L44" s="291"/>
      <c r="M44" s="291"/>
      <c r="N44" s="291"/>
      <c r="R44">
        <v>33</v>
      </c>
      <c r="V44" s="21"/>
      <c r="W44" s="21"/>
      <c r="X44" s="21"/>
      <c r="Y44" s="21"/>
      <c r="AH44" s="21"/>
    </row>
    <row r="45" spans="2:34" ht="56.25" customHeight="1" x14ac:dyDescent="0.25">
      <c r="B45" s="128">
        <f>B37+B39+B40-B41-B43-B44</f>
        <v>30.843043180253552</v>
      </c>
      <c r="C45" s="129">
        <f>C37+C39+C40-C41-C43-C44</f>
        <v>131.52615946995553</v>
      </c>
      <c r="D45" s="129">
        <f>D37+D39+D40-D41-D43-D44</f>
        <v>227.92780443225877</v>
      </c>
      <c r="E45" s="130">
        <f>E37+E39+E40-E41-E43-E44</f>
        <v>433.13913639479119</v>
      </c>
      <c r="F45" s="92"/>
      <c r="G45" s="291" t="s">
        <v>149</v>
      </c>
      <c r="H45" s="291"/>
      <c r="I45" s="291"/>
      <c r="J45" s="291"/>
      <c r="K45" s="291"/>
      <c r="L45" s="291"/>
      <c r="M45" s="291"/>
      <c r="N45" s="291"/>
      <c r="R45">
        <v>6</v>
      </c>
      <c r="AH45" s="21"/>
    </row>
    <row r="46" spans="2:34" ht="56.25" customHeight="1" x14ac:dyDescent="0.25">
      <c r="B46" s="273">
        <f ca="1">0.2*'1.Current Heat'!B24</f>
        <v>164.24007813905905</v>
      </c>
      <c r="C46" s="274"/>
      <c r="D46" s="274"/>
      <c r="E46" s="275"/>
      <c r="G46" s="291" t="s">
        <v>127</v>
      </c>
      <c r="H46" s="291"/>
      <c r="I46" s="291"/>
      <c r="J46" s="291"/>
      <c r="K46" s="291"/>
      <c r="L46" s="291"/>
      <c r="M46" s="291"/>
      <c r="N46" s="291"/>
      <c r="R46">
        <f>R45/R44</f>
        <v>0.18181818181818182</v>
      </c>
      <c r="AH46" s="21"/>
    </row>
    <row r="47" spans="2:34" ht="56.25" customHeight="1" x14ac:dyDescent="0.25">
      <c r="B47" s="128">
        <f ca="1">B45/$B$46</f>
        <v>0.18779242880132652</v>
      </c>
      <c r="C47" s="129">
        <f ca="1">C45/$B$46</f>
        <v>0.80081646916043692</v>
      </c>
      <c r="D47" s="129">
        <f ca="1">D45/$B$46</f>
        <v>1.3877721382918273</v>
      </c>
      <c r="E47" s="130">
        <f ca="1">E45/$B$46</f>
        <v>2.6372316751338869</v>
      </c>
      <c r="G47" s="291" t="s">
        <v>128</v>
      </c>
      <c r="H47" s="291"/>
      <c r="I47" s="291"/>
      <c r="J47" s="291"/>
      <c r="K47" s="291"/>
      <c r="L47" s="291"/>
      <c r="M47" s="291"/>
      <c r="N47" s="291"/>
    </row>
    <row r="48" spans="2:34" ht="56.25" customHeight="1" x14ac:dyDescent="0.25">
      <c r="B48" s="131">
        <f ca="1">'1.Current Heat'!B22</f>
        <v>15</v>
      </c>
      <c r="C48" s="132">
        <f t="shared" ref="C48:E48" ca="1" si="1">B48*1.06</f>
        <v>15.9</v>
      </c>
      <c r="D48" s="132">
        <f t="shared" ca="1" si="1"/>
        <v>16.854000000000003</v>
      </c>
      <c r="E48" s="133">
        <f t="shared" ca="1" si="1"/>
        <v>17.865240000000004</v>
      </c>
      <c r="G48" s="291" t="s">
        <v>194</v>
      </c>
      <c r="H48" s="291"/>
      <c r="I48" s="291"/>
      <c r="J48" s="291"/>
      <c r="K48" s="291"/>
      <c r="L48" s="291"/>
      <c r="M48" s="291"/>
      <c r="N48" s="291"/>
      <c r="O48" s="186">
        <f ca="1">(E48/B48)^(1/(E36-B36))-1</f>
        <v>5.006971033976404E-3</v>
      </c>
    </row>
    <row r="49" spans="1:14" ht="56.25" customHeight="1" x14ac:dyDescent="0.25">
      <c r="B49" s="134">
        <f ca="1">B47/B48</f>
        <v>1.2519495253421768E-2</v>
      </c>
      <c r="C49" s="135">
        <f ca="1">C47/C48</f>
        <v>5.0365815670467731E-2</v>
      </c>
      <c r="D49" s="135">
        <f ca="1">D47/D48</f>
        <v>8.2340817508711708E-2</v>
      </c>
      <c r="E49" s="136">
        <f ca="1">E47/E48</f>
        <v>0.14761803788439934</v>
      </c>
      <c r="G49" s="291" t="s">
        <v>182</v>
      </c>
      <c r="H49" s="291"/>
      <c r="I49" s="291"/>
      <c r="J49" s="291"/>
      <c r="K49" s="291"/>
      <c r="L49" s="291"/>
      <c r="M49" s="291"/>
      <c r="N49" s="29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143.28</v>
      </c>
      <c r="C54" s="147">
        <f>C32*($B$54-$B$29)+(1-C32)*$B$54</f>
        <v>135.62475504249875</v>
      </c>
      <c r="D54" s="147">
        <f>D32*($B$54-$B$29)+(1-D32)*$B$54</f>
        <v>130.71307078412417</v>
      </c>
      <c r="E54" s="148">
        <f>E32*($B$54-$B$29)+(1-E32)*$B$54</f>
        <v>130.60464347449522</v>
      </c>
      <c r="F54" s="1"/>
      <c r="G54" s="291" t="s">
        <v>109</v>
      </c>
      <c r="H54" s="291"/>
      <c r="I54" s="291"/>
      <c r="J54" s="291"/>
      <c r="K54" s="291"/>
      <c r="L54" s="291"/>
      <c r="M54" s="291"/>
      <c r="N54" s="291"/>
    </row>
    <row r="55" spans="1:14" ht="56.25" customHeight="1" x14ac:dyDescent="0.25">
      <c r="B55" s="149">
        <f>('LEAP Region'!H4+'LEAP Region'!H9+'LEAP Region'!H12)*1000</f>
        <v>42199.875968992259</v>
      </c>
      <c r="C55" s="150">
        <f>('LEAP Region'!I4+'LEAP Region'!I9+'LEAP Region'!I12)*1000</f>
        <v>30634.155038759694</v>
      </c>
      <c r="D55" s="150">
        <f>('LEAP Region'!J4+'LEAP Region'!J9+'LEAP Region'!J12)*1000</f>
        <v>19483.968992248065</v>
      </c>
      <c r="E55" s="151">
        <f>('LEAP Region'!K4+'LEAP Region'!K9+'LEAP Region'!K12)*1000</f>
        <v>2931.8294573643416</v>
      </c>
      <c r="G55" s="291" t="s">
        <v>110</v>
      </c>
      <c r="H55" s="291"/>
      <c r="I55" s="291"/>
      <c r="J55" s="291"/>
      <c r="K55" s="291"/>
      <c r="L55" s="291"/>
      <c r="M55" s="291"/>
      <c r="N55" s="291"/>
    </row>
    <row r="56" spans="1:14" ht="56.25" customHeight="1" x14ac:dyDescent="0.25">
      <c r="B56" s="152">
        <f>'LEAP Region'!H4*1000/'2.Heat Targets'!B55</f>
        <v>7.658643326039387E-3</v>
      </c>
      <c r="C56" s="153">
        <f>'LEAP Region'!I4*1000/'2.Heat Targets'!C55</f>
        <v>3.7678975131876416E-2</v>
      </c>
      <c r="D56" s="153">
        <f>'LEAP Region'!J4*1000/'2.Heat Targets'!D55</f>
        <v>9.7156398104265407E-2</v>
      </c>
      <c r="E56" s="154">
        <f>'LEAP Region'!K4*1000/'2.Heat Targets'!E55</f>
        <v>1</v>
      </c>
      <c r="G56" s="291" t="s">
        <v>137</v>
      </c>
      <c r="H56" s="291"/>
      <c r="I56" s="291"/>
      <c r="J56" s="291"/>
      <c r="K56" s="291"/>
      <c r="L56" s="291"/>
      <c r="M56" s="291"/>
      <c r="N56" s="291"/>
    </row>
    <row r="57" spans="1:14" ht="56.25" customHeight="1" x14ac:dyDescent="0.25">
      <c r="B57" s="128">
        <f>B55/B54</f>
        <v>294.52733088353057</v>
      </c>
      <c r="C57" s="129">
        <f>C55/C54</f>
        <v>225.87436216316348</v>
      </c>
      <c r="D57" s="129">
        <f>D55/D54</f>
        <v>149.05907171614319</v>
      </c>
      <c r="E57" s="130">
        <f>E55/E54</f>
        <v>22.448125727910096</v>
      </c>
      <c r="G57" s="291" t="s">
        <v>111</v>
      </c>
      <c r="H57" s="291"/>
      <c r="I57" s="291"/>
      <c r="J57" s="291"/>
      <c r="K57" s="291"/>
      <c r="L57" s="291"/>
      <c r="M57" s="291"/>
      <c r="N57" s="291"/>
    </row>
    <row r="58" spans="1:14" ht="56.25" customHeight="1" x14ac:dyDescent="0.25">
      <c r="B58" s="134">
        <f>B57/B31</f>
        <v>0.55362280241265149</v>
      </c>
      <c r="C58" s="135">
        <f>C57/C31</f>
        <v>0.40054327238467063</v>
      </c>
      <c r="D58" s="135">
        <f>D57/D31</f>
        <v>0.24936474281803517</v>
      </c>
      <c r="E58" s="136">
        <f>E57/E31</f>
        <v>3.5428344415576768E-2</v>
      </c>
      <c r="G58" s="291" t="s">
        <v>130</v>
      </c>
      <c r="H58" s="291"/>
      <c r="I58" s="291"/>
      <c r="J58" s="291"/>
      <c r="K58" s="291"/>
      <c r="L58" s="291"/>
      <c r="M58" s="291"/>
      <c r="N58" s="291"/>
    </row>
    <row r="59" spans="1:14" ht="56.25" customHeight="1" x14ac:dyDescent="0.25">
      <c r="B59" s="149">
        <f>('LEAP Region'!H5+'LEAP Region'!H13)*1000</f>
        <v>50210.465116279076</v>
      </c>
      <c r="C59" s="150">
        <f>('LEAP Region'!I5+'LEAP Region'!I13)*1000</f>
        <v>42084.449612403114</v>
      </c>
      <c r="D59" s="150">
        <f>('LEAP Region'!J5+'LEAP Region'!J13)*1000</f>
        <v>33358.217054263572</v>
      </c>
      <c r="E59" s="151">
        <f>('LEAP Region'!K5+'LEAP Region'!K13)*1000</f>
        <v>24147.193798449618</v>
      </c>
      <c r="G59" s="291" t="s">
        <v>112</v>
      </c>
      <c r="H59" s="291"/>
      <c r="I59" s="291"/>
      <c r="J59" s="291"/>
      <c r="K59" s="291"/>
      <c r="L59" s="291"/>
      <c r="M59" s="291"/>
      <c r="N59" s="291"/>
    </row>
    <row r="60" spans="1:14" ht="56.25" customHeight="1" x14ac:dyDescent="0.25">
      <c r="A60" s="2"/>
      <c r="B60" s="128">
        <f>B59/B54</f>
        <v>350.43596535649829</v>
      </c>
      <c r="C60" s="129">
        <f>C59/C54</f>
        <v>310.30064975391645</v>
      </c>
      <c r="D60" s="129">
        <f>D59/D54</f>
        <v>255.20184671780439</v>
      </c>
      <c r="E60" s="130">
        <f>E59/E54</f>
        <v>184.88771268814142</v>
      </c>
      <c r="G60" s="291" t="s">
        <v>140</v>
      </c>
      <c r="H60" s="291"/>
      <c r="I60" s="291"/>
      <c r="J60" s="291"/>
      <c r="K60" s="291"/>
      <c r="L60" s="291"/>
      <c r="M60" s="291"/>
      <c r="N60" s="291"/>
    </row>
    <row r="61" spans="1:14" ht="56.25" customHeight="1" x14ac:dyDescent="0.25">
      <c r="B61" s="134">
        <f>B60/B31</f>
        <v>0.65871422059492157</v>
      </c>
      <c r="C61" s="135">
        <f>C60/C31</f>
        <v>0.55025650757894096</v>
      </c>
      <c r="D61" s="135">
        <f>D60/D31</f>
        <v>0.42693371252613838</v>
      </c>
      <c r="E61" s="136">
        <f>E60/E31</f>
        <v>0.29179565558026221</v>
      </c>
      <c r="G61" s="291" t="s">
        <v>131</v>
      </c>
      <c r="H61" s="291"/>
      <c r="I61" s="291"/>
      <c r="J61" s="291"/>
      <c r="K61" s="291"/>
      <c r="L61" s="291"/>
      <c r="M61" s="291"/>
      <c r="N61" s="291"/>
    </row>
    <row r="62" spans="1:14" ht="56.25" customHeight="1" x14ac:dyDescent="0.25">
      <c r="B62" s="149">
        <f>('LEAP Region'!H7+'LEAP Region'!H8)*1000</f>
        <v>900.32558139534899</v>
      </c>
      <c r="C62" s="150">
        <f>('LEAP Region'!I7+'LEAP Region'!I8)*1000</f>
        <v>3601.302325581396</v>
      </c>
      <c r="D62" s="150">
        <f>('LEAP Region'!J7+'LEAP Region'!J8)*1000</f>
        <v>7271.8604651162796</v>
      </c>
      <c r="E62" s="151">
        <f>('LEAP Region'!K7+'LEAP Region'!K8)*1000</f>
        <v>9141.7674418604656</v>
      </c>
      <c r="G62" s="291" t="s">
        <v>113</v>
      </c>
      <c r="H62" s="291"/>
      <c r="I62" s="291"/>
      <c r="J62" s="291"/>
      <c r="K62" s="291"/>
      <c r="L62" s="291"/>
      <c r="M62" s="291"/>
      <c r="N62" s="291"/>
    </row>
    <row r="63" spans="1:14" ht="56.25" customHeight="1" x14ac:dyDescent="0.25">
      <c r="B63" s="128">
        <f>B62/((0.7*B54)/2.4)</f>
        <v>21.54404358447832</v>
      </c>
      <c r="C63" s="129">
        <f>C62/((0.75*C54)/2.6)</f>
        <v>92.051887760240248</v>
      </c>
      <c r="D63" s="129">
        <f>D62/((0.8*D54)/2.8)</f>
        <v>194.71282768607563</v>
      </c>
      <c r="E63" s="130">
        <f>E62/((0.85*E54)/3)</f>
        <v>247.04375511586093</v>
      </c>
      <c r="F63" s="91"/>
      <c r="G63" s="291" t="s">
        <v>180</v>
      </c>
      <c r="H63" s="291"/>
      <c r="I63" s="291"/>
      <c r="J63" s="291"/>
      <c r="K63" s="291"/>
      <c r="L63" s="291"/>
      <c r="M63" s="291"/>
      <c r="N63" s="291"/>
    </row>
    <row r="64" spans="1:14" ht="56.25" customHeight="1" x14ac:dyDescent="0.25">
      <c r="B64" s="134">
        <f>B63/B31</f>
        <v>4.0496322527214891E-2</v>
      </c>
      <c r="C64" s="135">
        <f>C63/C31</f>
        <v>0.16323572095375272</v>
      </c>
      <c r="D64" s="135">
        <f>D63/D31</f>
        <v>0.32574008170246888</v>
      </c>
      <c r="E64" s="136">
        <f>E63/E31</f>
        <v>0.38989229426313288</v>
      </c>
      <c r="G64" s="291" t="s">
        <v>114</v>
      </c>
      <c r="H64" s="291"/>
      <c r="I64" s="291"/>
      <c r="J64" s="291"/>
      <c r="K64" s="291"/>
      <c r="L64" s="291"/>
      <c r="M64" s="291"/>
      <c r="N64" s="291"/>
    </row>
    <row r="65" spans="1:20" ht="56.25" customHeight="1" x14ac:dyDescent="0.25">
      <c r="B65" s="149">
        <f>('LEAP Region'!H10+'LEAP Region'!H11)*1000</f>
        <v>16321.286821705427</v>
      </c>
      <c r="C65" s="150">
        <f>('LEAP Region'!I10+'LEAP Region'!I11)*1000</f>
        <v>12766.155038759693</v>
      </c>
      <c r="D65" s="150">
        <f>('LEAP Region'!J10+'LEAP Region'!J11)*1000</f>
        <v>8172.1860465116297</v>
      </c>
      <c r="E65" s="151">
        <f>('LEAP Region'!K10+'LEAP Region'!K11)*1000</f>
        <v>2862.5736434108535</v>
      </c>
      <c r="G65" s="291" t="s">
        <v>115</v>
      </c>
      <c r="H65" s="291"/>
      <c r="I65" s="291"/>
      <c r="J65" s="291"/>
      <c r="K65" s="291"/>
      <c r="L65" s="291"/>
      <c r="M65" s="291"/>
      <c r="N65" s="291"/>
    </row>
    <row r="66" spans="1:20" ht="56.25" customHeight="1" x14ac:dyDescent="0.25">
      <c r="B66" s="128">
        <f>B65/B54</f>
        <v>113.91182873887094</v>
      </c>
      <c r="C66" s="129">
        <f>C65/C54</f>
        <v>94.128502092109585</v>
      </c>
      <c r="D66" s="129">
        <f>D65/D54</f>
        <v>62.520037188998451</v>
      </c>
      <c r="E66" s="130">
        <f>E65/E54</f>
        <v>21.917855041424033</v>
      </c>
      <c r="G66" s="291" t="s">
        <v>146</v>
      </c>
      <c r="H66" s="291"/>
      <c r="I66" s="291"/>
      <c r="J66" s="291"/>
      <c r="K66" s="291"/>
      <c r="L66" s="291"/>
      <c r="M66" s="291"/>
      <c r="N66" s="291"/>
    </row>
    <row r="67" spans="1:20" ht="56.25" customHeight="1" x14ac:dyDescent="0.25">
      <c r="A67" s="21"/>
      <c r="B67" s="134">
        <f>B66/B31</f>
        <v>0.21411997883246417</v>
      </c>
      <c r="C67" s="135">
        <f>C66/C31</f>
        <v>0.16691818359361182</v>
      </c>
      <c r="D67" s="135">
        <f>D66/D31</f>
        <v>0.10459137317249342</v>
      </c>
      <c r="E67" s="136">
        <f>E66/E31</f>
        <v>3.4591454390011968E-2</v>
      </c>
      <c r="G67" s="291" t="s">
        <v>116</v>
      </c>
      <c r="H67" s="291"/>
      <c r="I67" s="291"/>
      <c r="J67" s="291"/>
      <c r="K67" s="291"/>
      <c r="L67" s="291"/>
      <c r="M67" s="291"/>
      <c r="N67" s="29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821.20039069529525</v>
      </c>
      <c r="C72" s="156">
        <f ca="1">C49*($B$72-$B$46)+(1-C49)*$B$72</f>
        <v>812.92830519404026</v>
      </c>
      <c r="D72" s="156">
        <f ca="1">D49*($B$72-$B$46)+(1-D49)*$B$72</f>
        <v>807.67672839363047</v>
      </c>
      <c r="E72" s="157">
        <f ca="1">E49*($B$72-$B$46)+(1-E49)*$B$72</f>
        <v>796.95559261842698</v>
      </c>
      <c r="G72" s="292" t="s">
        <v>134</v>
      </c>
      <c r="H72" s="292"/>
      <c r="I72" s="292"/>
      <c r="J72" s="292"/>
      <c r="K72" s="292"/>
      <c r="L72" s="292"/>
      <c r="M72" s="292"/>
      <c r="N72" s="292"/>
    </row>
    <row r="73" spans="1:20" ht="56.25" customHeight="1" x14ac:dyDescent="0.25">
      <c r="B73" s="149">
        <f>('LEAP Region'!T4+'LEAP Region'!T5+'LEAP Region'!T9)*1000</f>
        <v>4708.7045921864283</v>
      </c>
      <c r="C73" s="150">
        <f>('LEAP Region'!U4+'LEAP Region'!U5+'LEAP Region'!U9)*1000</f>
        <v>3947.9095270733364</v>
      </c>
      <c r="D73" s="150">
        <f>('LEAP Region'!V4+'LEAP Region'!V5+'LEAP Region'!V9)*1000</f>
        <v>3063.7422892392046</v>
      </c>
      <c r="E73" s="151">
        <f>('LEAP Region'!W4+'LEAP Region'!W5+'LEAP Region'!W9)*1000</f>
        <v>1696.3673749143247</v>
      </c>
      <c r="G73" s="291" t="s">
        <v>133</v>
      </c>
      <c r="H73" s="291"/>
      <c r="I73" s="291"/>
      <c r="J73" s="291"/>
      <c r="K73" s="291"/>
      <c r="L73" s="291"/>
      <c r="M73" s="291"/>
      <c r="N73" s="291"/>
    </row>
    <row r="74" spans="1:20" ht="56.25" customHeight="1" x14ac:dyDescent="0.25">
      <c r="B74" s="158">
        <f ca="1">com_share_state_target*'LEAP Statewide'!T4*1000/'2.Heat Targets'!B73</f>
        <v>6.3970911129082849E-3</v>
      </c>
      <c r="C74" s="145">
        <f ca="1">com_share_state_target*'LEAP Statewide'!U4*1000/'2.Heat Targets'!C73</f>
        <v>4.7705168333700566E-2</v>
      </c>
      <c r="D74" s="145">
        <f ca="1">com_share_state_target*'LEAP Statewide'!V4*1000/'2.Heat Targets'!D73</f>
        <v>0.11533239996170315</v>
      </c>
      <c r="E74" s="159">
        <f ca="1">com_share_state_target*'LEAP Statewide'!W4*1000/'2.Heat Targets'!E73</f>
        <v>0.37039251646285487</v>
      </c>
      <c r="G74" s="291" t="s">
        <v>136</v>
      </c>
      <c r="H74" s="291"/>
      <c r="I74" s="291"/>
      <c r="J74" s="291"/>
      <c r="K74" s="291"/>
      <c r="L74" s="291"/>
      <c r="M74" s="291"/>
      <c r="N74" s="291"/>
    </row>
    <row r="75" spans="1:20" ht="56.25" customHeight="1" x14ac:dyDescent="0.25">
      <c r="B75" s="128">
        <f ca="1">B73/B72</f>
        <v>5.7339288260684516</v>
      </c>
      <c r="C75" s="129">
        <f ca="1">C73/C72</f>
        <v>4.8564055425908661</v>
      </c>
      <c r="D75" s="129">
        <f ca="1">D73/D72</f>
        <v>3.7932779062888327</v>
      </c>
      <c r="E75" s="130">
        <f ca="1">E73/E72</f>
        <v>2.1285594713512799</v>
      </c>
      <c r="G75" s="291" t="s">
        <v>135</v>
      </c>
      <c r="H75" s="291"/>
      <c r="I75" s="291"/>
      <c r="J75" s="291"/>
      <c r="K75" s="291"/>
      <c r="L75" s="291"/>
      <c r="M75" s="291"/>
      <c r="N75" s="291"/>
    </row>
    <row r="76" spans="1:20" ht="56.25" customHeight="1" x14ac:dyDescent="0.25">
      <c r="B76" s="134">
        <f ca="1">B75/B48</f>
        <v>0.38226192173789675</v>
      </c>
      <c r="C76" s="135">
        <f ca="1">C75/C48</f>
        <v>0.30543431085477146</v>
      </c>
      <c r="D76" s="135">
        <f ca="1">D75/D48</f>
        <v>0.22506692217211535</v>
      </c>
      <c r="E76" s="136">
        <f ca="1">E75/E48</f>
        <v>0.11914530514850512</v>
      </c>
      <c r="G76" s="291" t="s">
        <v>181</v>
      </c>
      <c r="H76" s="291"/>
      <c r="I76" s="291"/>
      <c r="J76" s="291"/>
      <c r="K76" s="291"/>
      <c r="L76" s="291"/>
      <c r="M76" s="291"/>
      <c r="N76" s="291"/>
    </row>
    <row r="77" spans="1:20" ht="56.25" customHeight="1" x14ac:dyDescent="0.25">
      <c r="B77" s="128">
        <f>'LEAP Region'!T10*1000</f>
        <v>1449.6230294722409</v>
      </c>
      <c r="C77" s="129">
        <f>'LEAP Region'!U10*1000</f>
        <v>1984.2357779300887</v>
      </c>
      <c r="D77" s="129">
        <f>'LEAP Region'!V10*1000</f>
        <v>2508.5675119945163</v>
      </c>
      <c r="E77" s="130">
        <f>'LEAP Region'!W10*1000</f>
        <v>3413.2967786154895</v>
      </c>
      <c r="G77" s="291" t="s">
        <v>138</v>
      </c>
      <c r="H77" s="291"/>
      <c r="I77" s="291"/>
      <c r="J77" s="291"/>
      <c r="K77" s="291"/>
      <c r="L77" s="291"/>
      <c r="M77" s="291"/>
      <c r="N77" s="291"/>
    </row>
    <row r="78" spans="1:20" ht="56.25" customHeight="1" x14ac:dyDescent="0.25">
      <c r="B78" s="128">
        <f ca="1">B77/B72</f>
        <v>1.7652488307328638</v>
      </c>
      <c r="C78" s="129">
        <f ca="1">C77/C72</f>
        <v>2.4408496607292638</v>
      </c>
      <c r="D78" s="129">
        <f ca="1">D77/D72</f>
        <v>3.1059053997801174</v>
      </c>
      <c r="E78" s="130">
        <f ca="1">E77/E72</f>
        <v>4.2829196635674229</v>
      </c>
      <c r="G78" s="291" t="s">
        <v>139</v>
      </c>
      <c r="H78" s="291"/>
      <c r="I78" s="291"/>
      <c r="J78" s="291"/>
      <c r="K78" s="291"/>
      <c r="L78" s="291"/>
      <c r="M78" s="291"/>
      <c r="N78" s="291"/>
    </row>
    <row r="79" spans="1:20" ht="56.25" customHeight="1" x14ac:dyDescent="0.25">
      <c r="B79" s="134">
        <f ca="1">B78/B48</f>
        <v>0.11768325538219092</v>
      </c>
      <c r="C79" s="135">
        <f ca="1">C78/C48</f>
        <v>0.15351255727857005</v>
      </c>
      <c r="D79" s="135">
        <f ca="1">D78/D48</f>
        <v>0.18428298325502057</v>
      </c>
      <c r="E79" s="136">
        <f ca="1">E78/E48</f>
        <v>0.23973479581396176</v>
      </c>
      <c r="G79" s="291" t="s">
        <v>141</v>
      </c>
      <c r="H79" s="291"/>
      <c r="I79" s="291"/>
      <c r="J79" s="291"/>
      <c r="K79" s="291"/>
      <c r="L79" s="291"/>
      <c r="M79" s="291"/>
      <c r="N79" s="291"/>
    </row>
    <row r="80" spans="1:20" ht="56.25" customHeight="1" x14ac:dyDescent="0.25">
      <c r="B80" s="149">
        <f>B43</f>
        <v>38.759424263193964</v>
      </c>
      <c r="C80" s="150">
        <f>C43</f>
        <v>218.34589901759199</v>
      </c>
      <c r="D80" s="150">
        <f>D43</f>
        <v>397.93237377199</v>
      </c>
      <c r="E80" s="151">
        <f>E43</f>
        <v>577.51884852638807</v>
      </c>
      <c r="G80" s="291" t="s">
        <v>142</v>
      </c>
      <c r="H80" s="291"/>
      <c r="I80" s="291"/>
      <c r="J80" s="291"/>
      <c r="K80" s="291"/>
      <c r="L80" s="291"/>
      <c r="M80" s="291"/>
      <c r="N80" s="291"/>
    </row>
    <row r="81" spans="2:14" ht="56.25" customHeight="1" x14ac:dyDescent="0.25">
      <c r="B81" s="128">
        <f ca="1">B80/((0.7*B72)/2.4)</f>
        <v>0.16182341864712213</v>
      </c>
      <c r="C81" s="129">
        <f ca="1">C80/((0.75*C72)/2.6)</f>
        <v>0.93111833490282736</v>
      </c>
      <c r="D81" s="129">
        <f ca="1">D80/((0.8*D72)/2.8)</f>
        <v>1.7244068811689046</v>
      </c>
      <c r="E81" s="130">
        <f ca="1">E80/((0.85*E72)/3)</f>
        <v>2.5576102824393425</v>
      </c>
      <c r="G81" s="291" t="s">
        <v>143</v>
      </c>
      <c r="H81" s="291"/>
      <c r="I81" s="291"/>
      <c r="J81" s="291"/>
      <c r="K81" s="291"/>
      <c r="L81" s="291"/>
      <c r="M81" s="291"/>
      <c r="N81" s="291"/>
    </row>
    <row r="82" spans="2:14" ht="56.25" customHeight="1" x14ac:dyDescent="0.25">
      <c r="B82" s="134">
        <f ca="1">B81/B48</f>
        <v>1.0788227909808141E-2</v>
      </c>
      <c r="C82" s="135">
        <f ca="1">C81/C48</f>
        <v>5.8560901566215559E-2</v>
      </c>
      <c r="D82" s="135">
        <f ca="1">D81/D48</f>
        <v>0.10231439902509222</v>
      </c>
      <c r="E82" s="136">
        <f ca="1">E81/E48</f>
        <v>0.14316126077451755</v>
      </c>
      <c r="G82" s="291" t="s">
        <v>144</v>
      </c>
      <c r="H82" s="291"/>
      <c r="I82" s="291"/>
      <c r="J82" s="291"/>
      <c r="K82" s="291"/>
      <c r="L82" s="291"/>
      <c r="M82" s="291"/>
      <c r="N82" s="291"/>
    </row>
    <row r="83" spans="2:14" ht="56.25" customHeight="1" x14ac:dyDescent="0.25">
      <c r="B83" s="149">
        <f>('LEAP Region'!T7+'LEAP Region'!T8)*1000</f>
        <v>3074.0233036326244</v>
      </c>
      <c r="C83" s="150">
        <f>('LEAP Region'!U7+'LEAP Region'!U8)*1000</f>
        <v>2652.5017135023986</v>
      </c>
      <c r="D83" s="150">
        <f>('LEAP Region'!V7+'LEAP Region'!V8)*1000</f>
        <v>2148.7320082248111</v>
      </c>
      <c r="E83" s="151">
        <f>('LEAP Region'!W7+'LEAP Region'!W8)*1000</f>
        <v>1367.3749143248797</v>
      </c>
      <c r="G83" s="291" t="s">
        <v>145</v>
      </c>
      <c r="H83" s="291"/>
      <c r="I83" s="291"/>
      <c r="J83" s="291"/>
      <c r="K83" s="291"/>
      <c r="L83" s="291"/>
      <c r="M83" s="291"/>
      <c r="N83" s="291"/>
    </row>
    <row r="84" spans="2:14" ht="56.25" customHeight="1" x14ac:dyDescent="0.25">
      <c r="B84" s="128">
        <f ca="1">B83/B72</f>
        <v>3.7433290807739454</v>
      </c>
      <c r="C84" s="129">
        <f ca="1">C83/C72</f>
        <v>3.262897473928239</v>
      </c>
      <c r="D84" s="129">
        <f ca="1">D83/D72</f>
        <v>2.6603861825985433</v>
      </c>
      <c r="E84" s="130">
        <f ca="1">E83/E72</f>
        <v>1.7157479375134554</v>
      </c>
      <c r="G84" s="291" t="s">
        <v>147</v>
      </c>
      <c r="H84" s="291"/>
      <c r="I84" s="291"/>
      <c r="J84" s="291"/>
      <c r="K84" s="291"/>
      <c r="L84" s="291"/>
      <c r="M84" s="291"/>
      <c r="N84" s="291"/>
    </row>
    <row r="85" spans="2:14" ht="56.25" customHeight="1" x14ac:dyDescent="0.25">
      <c r="B85" s="134">
        <f ca="1">B84/B48</f>
        <v>0.24955527205159636</v>
      </c>
      <c r="C85" s="135">
        <f ca="1">C84/C48</f>
        <v>0.20521367760554962</v>
      </c>
      <c r="D85" s="135">
        <f ca="1">D84/D48</f>
        <v>0.15784894877171846</v>
      </c>
      <c r="E85" s="136">
        <f ca="1">E84/E48</f>
        <v>9.6038336877279848E-2</v>
      </c>
      <c r="G85" s="291" t="s">
        <v>148</v>
      </c>
      <c r="H85" s="291"/>
      <c r="I85" s="291"/>
      <c r="J85" s="291"/>
      <c r="K85" s="291"/>
      <c r="L85" s="291"/>
      <c r="M85" s="291"/>
      <c r="N85" s="29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F25" sqref="F25"/>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76" t="s">
        <v>504</v>
      </c>
      <c r="C4" s="277"/>
      <c r="D4" s="277"/>
      <c r="E4" s="277"/>
      <c r="F4" s="277"/>
      <c r="G4" s="277"/>
      <c r="H4" s="277"/>
      <c r="I4" s="277"/>
      <c r="J4" s="277"/>
      <c r="K4" s="277"/>
      <c r="L4" s="277"/>
      <c r="M4" s="277"/>
      <c r="N4" s="278"/>
    </row>
    <row r="5" spans="2:15" ht="22.5" customHeight="1" x14ac:dyDescent="0.25">
      <c r="B5" s="279"/>
      <c r="C5" s="280"/>
      <c r="D5" s="280"/>
      <c r="E5" s="280"/>
      <c r="F5" s="280"/>
      <c r="G5" s="280"/>
      <c r="H5" s="280"/>
      <c r="I5" s="280"/>
      <c r="J5" s="280"/>
      <c r="K5" s="280"/>
      <c r="L5" s="280"/>
      <c r="M5" s="280"/>
      <c r="N5" s="281"/>
    </row>
    <row r="6" spans="2:15" ht="22.5" customHeight="1" x14ac:dyDescent="0.25">
      <c r="B6" s="282"/>
      <c r="C6" s="283"/>
      <c r="D6" s="283"/>
      <c r="E6" s="283"/>
      <c r="F6" s="283"/>
      <c r="G6" s="283"/>
      <c r="H6" s="283"/>
      <c r="I6" s="283"/>
      <c r="J6" s="283"/>
      <c r="K6" s="283"/>
      <c r="L6" s="283"/>
      <c r="M6" s="283"/>
      <c r="N6" s="28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85" t="s">
        <v>151</v>
      </c>
      <c r="N11" s="286"/>
      <c r="O11" s="287"/>
    </row>
    <row r="12" spans="2:15" x14ac:dyDescent="0.25">
      <c r="B12" s="1">
        <v>100</v>
      </c>
      <c r="C12" s="2" t="s">
        <v>103</v>
      </c>
      <c r="D12" s="2"/>
      <c r="E12" s="2"/>
      <c r="F12" s="2"/>
      <c r="G12" s="2"/>
      <c r="H12" s="2"/>
      <c r="I12" s="2"/>
      <c r="J12" s="2"/>
      <c r="K12" s="3"/>
      <c r="M12" s="288"/>
      <c r="N12" s="289"/>
      <c r="O12" s="29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69.255813953488385</v>
      </c>
      <c r="C18" s="129">
        <f>'LEAP Region'!I26*1000</f>
        <v>1892.9922480620157</v>
      </c>
      <c r="D18" s="129">
        <f>'LEAP Region'!J26*1000</f>
        <v>5494.2945736434121</v>
      </c>
      <c r="E18" s="130">
        <f>'LEAP Region'!K26*1000</f>
        <v>10642.310077519382</v>
      </c>
      <c r="G18" s="291" t="s">
        <v>474</v>
      </c>
      <c r="H18" s="291"/>
      <c r="I18" s="291"/>
      <c r="J18" s="291"/>
      <c r="K18" s="291"/>
      <c r="L18" s="291"/>
      <c r="M18" s="291"/>
      <c r="N18" s="29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91" t="s">
        <v>190</v>
      </c>
      <c r="H19" s="291"/>
      <c r="I19" s="291"/>
      <c r="J19" s="291"/>
      <c r="K19" s="291"/>
      <c r="L19" s="291"/>
      <c r="M19" s="291"/>
      <c r="N19" s="291"/>
      <c r="V19" t="s">
        <v>547</v>
      </c>
    </row>
    <row r="20" spans="2:22" ht="54.75" customHeight="1" x14ac:dyDescent="0.25">
      <c r="B20" s="128">
        <f>IF($F$22="adj",'1.Current Trans'!$O$13*B18/B19,B18/B19)</f>
        <v>4.8714523296709302</v>
      </c>
      <c r="C20" s="129">
        <f>IF($F$22="adj",'1.Current Trans'!$O$13*C18/C19,C18/C19)</f>
        <v>145.25785128473316</v>
      </c>
      <c r="D20" s="129">
        <f>IF($F$22="adj",'1.Current Trans'!$O$13*D18/D19,D18/D19)</f>
        <v>463.7622617846726</v>
      </c>
      <c r="E20" s="130">
        <f>IF($F$22="adj",'1.Current Trans'!$O$13*E18/E19,E18/E19)</f>
        <v>998.10645510146605</v>
      </c>
      <c r="G20" s="293" t="s">
        <v>106</v>
      </c>
      <c r="H20" s="293"/>
      <c r="I20" s="293"/>
      <c r="J20" s="293"/>
      <c r="K20" s="293"/>
      <c r="L20" s="293"/>
      <c r="M20" s="293"/>
      <c r="N20" s="293"/>
    </row>
    <row r="21" spans="2:22" ht="54.75" customHeight="1" x14ac:dyDescent="0.25">
      <c r="B21" s="131">
        <f>'1.Current Trans'!B9+'1.Current Trans'!B32</f>
        <v>1027</v>
      </c>
      <c r="C21" s="132">
        <f t="shared" ref="C21:E21" si="0">B21*1.125</f>
        <v>1155.375</v>
      </c>
      <c r="D21" s="132">
        <f t="shared" si="0"/>
        <v>1299.796875</v>
      </c>
      <c r="E21" s="133">
        <f t="shared" si="0"/>
        <v>1462.271484375</v>
      </c>
      <c r="G21" s="293" t="s">
        <v>189</v>
      </c>
      <c r="H21" s="293"/>
      <c r="I21" s="293"/>
      <c r="J21" s="293"/>
      <c r="K21" s="293"/>
      <c r="L21" s="293"/>
      <c r="M21" s="293"/>
      <c r="N21" s="293"/>
      <c r="O21" s="186">
        <f>(E21/B21)^(1/(E17-B17))-1</f>
        <v>1.014682216717655E-2</v>
      </c>
    </row>
    <row r="22" spans="2:22" ht="54.75" customHeight="1" x14ac:dyDescent="0.25">
      <c r="B22" s="134">
        <f>B20/B21</f>
        <v>4.7433810415491041E-3</v>
      </c>
      <c r="C22" s="135">
        <f>C20/C21</f>
        <v>0.12572355407095806</v>
      </c>
      <c r="D22" s="135">
        <f>D20/D21</f>
        <v>0.35679595074012821</v>
      </c>
      <c r="E22" s="136">
        <f>E20/E21</f>
        <v>0.68257260417553312</v>
      </c>
      <c r="F22" s="54" t="s">
        <v>545</v>
      </c>
      <c r="G22" s="293" t="s">
        <v>191</v>
      </c>
      <c r="H22" s="293"/>
      <c r="I22" s="293"/>
      <c r="J22" s="293"/>
      <c r="K22" s="293"/>
      <c r="L22" s="293"/>
      <c r="M22" s="293"/>
      <c r="N22" s="293"/>
    </row>
    <row r="23" spans="2:22" ht="54.75" customHeight="1" x14ac:dyDescent="0.25">
      <c r="B23" s="166">
        <f>('LEAP Region'!H24+'LEAP Region'!H25+'LEAP Region'!H27+'LEAP Region'!H28)*1000</f>
        <v>78928.542635658916</v>
      </c>
      <c r="C23" s="167">
        <f>('LEAP Region'!I24+'LEAP Region'!I25+'LEAP Region'!I27+'LEAP Region'!I28)*1000</f>
        <v>56628.170542635664</v>
      </c>
      <c r="D23" s="167">
        <f>('LEAP Region'!J24+'LEAP Region'!J25+'LEAP Region'!J27+'LEAP Region'!J28)*1000</f>
        <v>32342.465116279072</v>
      </c>
      <c r="E23" s="168">
        <f>('LEAP Region'!K24+'LEAP Region'!K25+'LEAP Region'!K27+'LEAP Region'!K28)*1000</f>
        <v>4501.6279069767452</v>
      </c>
      <c r="G23" s="291" t="s">
        <v>470</v>
      </c>
      <c r="H23" s="291"/>
      <c r="I23" s="291"/>
      <c r="J23" s="291"/>
      <c r="K23" s="291"/>
      <c r="L23" s="291"/>
      <c r="M23" s="291"/>
      <c r="N23" s="291"/>
    </row>
    <row r="24" spans="2:22" ht="54.75" customHeight="1" x14ac:dyDescent="0.25">
      <c r="B24" s="158">
        <f>res_share_state_target*('LEAP Statewide'!H25+'LEAP Statewide'!H28)*1000000/'2.Trans Targets'!B23</f>
        <v>0.12047528891144012</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0.52808334972847915</v>
      </c>
      <c r="G24" s="291" t="s">
        <v>192</v>
      </c>
      <c r="H24" s="291"/>
      <c r="I24" s="291"/>
      <c r="J24" s="291"/>
      <c r="K24" s="291"/>
      <c r="L24" s="291"/>
      <c r="M24" s="291"/>
      <c r="N24" s="29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91" t="s">
        <v>193</v>
      </c>
      <c r="H25" s="291"/>
      <c r="I25" s="291"/>
      <c r="J25" s="291"/>
      <c r="K25" s="291"/>
      <c r="L25" s="291"/>
      <c r="M25" s="291"/>
      <c r="N25" s="291"/>
    </row>
    <row r="26" spans="2:22" ht="54.75" customHeight="1" x14ac:dyDescent="0.25">
      <c r="B26" s="128">
        <f>IF($F$22="adj",'1.Current Trans'!$O$13*B23/B25,B23/B25)</f>
        <v>1177.5472884391304</v>
      </c>
      <c r="C26" s="135">
        <f>C24/C25</f>
        <v>1.9618422167365737E-3</v>
      </c>
      <c r="D26" s="135">
        <f>D24/D25</f>
        <v>2.7571470859238355E-3</v>
      </c>
      <c r="E26" s="136">
        <f>E24/E25</f>
        <v>1.2442917986391038E-2</v>
      </c>
      <c r="G26" s="293" t="s">
        <v>107</v>
      </c>
      <c r="H26" s="293"/>
      <c r="I26" s="293"/>
      <c r="J26" s="293"/>
      <c r="K26" s="293"/>
      <c r="L26" s="293"/>
      <c r="M26" s="293"/>
      <c r="N26" s="293"/>
    </row>
    <row r="27" spans="2:22" ht="54.75" customHeight="1" x14ac:dyDescent="0.25">
      <c r="B27" s="134">
        <f>B26/B21</f>
        <v>1.1465893753058718</v>
      </c>
      <c r="C27" s="135">
        <f>C26/C21</f>
        <v>1.6980133867675634E-6</v>
      </c>
      <c r="D27" s="135">
        <f>D26/D21</f>
        <v>2.1212138134459168E-6</v>
      </c>
      <c r="E27" s="136">
        <f>E26/E21</f>
        <v>8.5093076896793579E-6</v>
      </c>
      <c r="G27" s="293" t="s">
        <v>108</v>
      </c>
      <c r="H27" s="293"/>
      <c r="I27" s="293"/>
      <c r="J27" s="293"/>
      <c r="K27" s="293"/>
      <c r="L27" s="293"/>
      <c r="M27" s="293"/>
      <c r="N27" s="29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277023.25581395352</v>
      </c>
      <c r="C5" s="172">
        <f>'LEAP Region'!C49*1000000</f>
        <v>1292775.1937984501</v>
      </c>
      <c r="D5" s="172">
        <f>'LEAP Region'!D49*1000000</f>
        <v>2031503.8759689927</v>
      </c>
      <c r="E5" s="173">
        <f>'LEAP Region'!E49*1000000</f>
        <v>2978000.0000000005</v>
      </c>
      <c r="G5" s="291" t="s">
        <v>186</v>
      </c>
      <c r="H5" s="291"/>
      <c r="I5" s="291"/>
      <c r="J5" s="291"/>
      <c r="K5" s="291"/>
      <c r="L5" s="291"/>
      <c r="M5" s="291"/>
      <c r="N5" s="291"/>
    </row>
    <row r="6" spans="2:14" s="126" customFormat="1" ht="45" customHeight="1" x14ac:dyDescent="0.2">
      <c r="B6" s="294">
        <v>400</v>
      </c>
      <c r="C6" s="295"/>
      <c r="D6" s="295"/>
      <c r="E6" s="296"/>
      <c r="G6" s="291" t="s">
        <v>475</v>
      </c>
      <c r="H6" s="291"/>
      <c r="I6" s="291"/>
      <c r="J6" s="291"/>
      <c r="K6" s="291"/>
      <c r="L6" s="291"/>
      <c r="M6" s="291"/>
      <c r="N6" s="291"/>
    </row>
    <row r="7" spans="2:14" s="126" customFormat="1" ht="45" customHeight="1" x14ac:dyDescent="0.2">
      <c r="B7" s="171">
        <f>B5/13/$B$6</f>
        <v>53.273703041144906</v>
      </c>
      <c r="C7" s="172">
        <f>C5/13/$B$6</f>
        <v>248.61061419200962</v>
      </c>
      <c r="D7" s="172">
        <f>D5/13/$B$6</f>
        <v>390.67382230172939</v>
      </c>
      <c r="E7" s="172">
        <f>E5/13/$B$6</f>
        <v>572.69230769230785</v>
      </c>
      <c r="G7" s="291" t="s">
        <v>185</v>
      </c>
      <c r="H7" s="291"/>
      <c r="I7" s="291"/>
      <c r="J7" s="291"/>
      <c r="K7" s="291"/>
      <c r="L7" s="291"/>
      <c r="M7" s="291"/>
      <c r="N7" s="291"/>
    </row>
    <row r="8" spans="2:14" s="126" customFormat="1" ht="45" customHeight="1" x14ac:dyDescent="0.2">
      <c r="B8" s="36">
        <f>'2.Heat Targets'!B31*1.5</f>
        <v>798</v>
      </c>
      <c r="C8" s="36">
        <f>'2.Heat Targets'!C31*1.5</f>
        <v>845.88000000000011</v>
      </c>
      <c r="D8" s="36">
        <f>'2.Heat Targets'!D31*1.5</f>
        <v>896.63280000000009</v>
      </c>
      <c r="E8" s="36">
        <f>'2.Heat Targets'!E31*1.5</f>
        <v>950.43076800000017</v>
      </c>
      <c r="G8" s="291" t="s">
        <v>187</v>
      </c>
      <c r="H8" s="291"/>
      <c r="I8" s="291"/>
      <c r="J8" s="291"/>
      <c r="K8" s="291"/>
      <c r="L8" s="291"/>
      <c r="M8" s="291"/>
      <c r="N8" s="291"/>
    </row>
    <row r="9" spans="2:14" s="126" customFormat="1" ht="45" customHeight="1" x14ac:dyDescent="0.2">
      <c r="B9" s="174">
        <f>B7/B8</f>
        <v>6.6759026367349511E-2</v>
      </c>
      <c r="C9" s="175">
        <f>C7/C8</f>
        <v>0.29390766325248213</v>
      </c>
      <c r="D9" s="175">
        <f>D7/D8</f>
        <v>0.43571216924222417</v>
      </c>
      <c r="E9" s="176">
        <f>E7/E8</f>
        <v>0.60256078293575166</v>
      </c>
      <c r="G9" s="291" t="s">
        <v>188</v>
      </c>
      <c r="H9" s="291"/>
      <c r="I9" s="291"/>
      <c r="J9" s="291"/>
      <c r="K9" s="291"/>
      <c r="L9" s="291"/>
      <c r="M9" s="291"/>
      <c r="N9" s="29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297"/>
      <c r="C17" s="297"/>
      <c r="D17" s="297"/>
      <c r="E17" s="29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4" zoomScale="70" zoomScaleNormal="70" workbookViewId="0">
      <selection activeCell="U47" sqref="U47"/>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x14ac:dyDescent="0.25">
      <c r="L15" s="22"/>
    </row>
    <row r="16" spans="1:25" x14ac:dyDescent="0.25">
      <c r="B16" s="21"/>
      <c r="C16" s="21"/>
      <c r="D16" s="21"/>
      <c r="E16" s="21"/>
      <c r="H16" s="21"/>
      <c r="I16" s="21"/>
      <c r="J16" s="21"/>
      <c r="K16" s="21"/>
      <c r="L16" s="22"/>
      <c r="M16" s="301"/>
      <c r="N16" s="301"/>
      <c r="O16" s="301"/>
      <c r="P16" s="301"/>
      <c r="Q16" s="114"/>
      <c r="R16" s="299"/>
    </row>
    <row r="17" spans="1:18" x14ac:dyDescent="0.25">
      <c r="B17" s="21"/>
      <c r="C17" s="21"/>
      <c r="D17" s="21"/>
      <c r="E17" s="21"/>
      <c r="H17" s="21"/>
      <c r="I17" s="21"/>
      <c r="J17" s="21"/>
      <c r="K17" s="30"/>
      <c r="L17" s="22"/>
      <c r="M17" s="301"/>
      <c r="N17" s="301"/>
      <c r="O17" s="301"/>
      <c r="P17" s="301"/>
      <c r="Q17" s="114"/>
      <c r="R17" s="114"/>
    </row>
    <row r="18" spans="1:18" x14ac:dyDescent="0.25">
      <c r="B18" s="21"/>
      <c r="L18" s="22"/>
      <c r="M18" s="114"/>
      <c r="N18" s="114"/>
      <c r="O18" s="114"/>
      <c r="P18" s="114"/>
      <c r="Q18" s="114"/>
      <c r="R18" s="114"/>
    </row>
    <row r="19" spans="1:18" x14ac:dyDescent="0.25">
      <c r="B19" s="21"/>
      <c r="C19" s="21"/>
      <c r="D19" s="21"/>
      <c r="E19" s="21"/>
      <c r="H19" s="21"/>
      <c r="I19" s="21"/>
      <c r="J19" s="21"/>
      <c r="K19" s="21"/>
      <c r="L19" s="22"/>
      <c r="M19" s="114"/>
      <c r="N19" s="302"/>
      <c r="O19" s="302"/>
      <c r="P19" s="302"/>
      <c r="Q19" s="302"/>
      <c r="R19" s="114"/>
    </row>
    <row r="20" spans="1:18" x14ac:dyDescent="0.25">
      <c r="B20" s="21"/>
      <c r="C20" s="21"/>
      <c r="D20" s="21"/>
      <c r="E20" s="21"/>
      <c r="H20" s="23"/>
      <c r="I20" s="23"/>
      <c r="J20" s="23"/>
      <c r="K20" s="23"/>
      <c r="L20" s="22"/>
      <c r="M20" s="301"/>
      <c r="N20" s="302"/>
      <c r="O20" s="302"/>
      <c r="P20" s="302"/>
      <c r="Q20" s="302"/>
      <c r="R20" s="114"/>
    </row>
    <row r="21" spans="1:18" x14ac:dyDescent="0.25">
      <c r="L21" s="22"/>
      <c r="M21" s="301"/>
      <c r="N21" s="302"/>
      <c r="O21" s="302"/>
      <c r="P21" s="302"/>
      <c r="Q21" s="302"/>
      <c r="R21" s="114"/>
    </row>
    <row r="22" spans="1:18" ht="33.75" customHeight="1" x14ac:dyDescent="0.25">
      <c r="A22" s="221" t="s">
        <v>472</v>
      </c>
      <c r="B22" s="222"/>
      <c r="C22" s="222"/>
      <c r="D22" s="222"/>
      <c r="E22" s="223"/>
      <c r="G22" s="221" t="s">
        <v>473</v>
      </c>
      <c r="H22" s="222"/>
      <c r="I22" s="222"/>
      <c r="J22" s="222"/>
      <c r="K22" s="223"/>
      <c r="L22" s="22"/>
      <c r="M22" s="301"/>
      <c r="N22" s="302"/>
      <c r="O22" s="302"/>
      <c r="P22" s="302"/>
      <c r="Q22" s="302"/>
      <c r="R22" s="114"/>
    </row>
    <row r="23" spans="1:18" x14ac:dyDescent="0.25">
      <c r="A23" s="14" t="s">
        <v>0</v>
      </c>
      <c r="B23" s="15">
        <v>2015</v>
      </c>
      <c r="C23" s="15">
        <v>2025</v>
      </c>
      <c r="D23" s="15">
        <v>2035</v>
      </c>
      <c r="E23" s="16">
        <v>2050</v>
      </c>
      <c r="G23" s="14" t="s">
        <v>0</v>
      </c>
      <c r="H23" s="15">
        <v>2015</v>
      </c>
      <c r="I23" s="15">
        <v>2025</v>
      </c>
      <c r="J23" s="15">
        <v>2035</v>
      </c>
      <c r="K23" s="16">
        <v>2050</v>
      </c>
      <c r="M23" s="301"/>
      <c r="N23" s="302"/>
      <c r="O23" s="302"/>
      <c r="P23" s="302"/>
      <c r="Q23" s="302"/>
      <c r="R23" s="114"/>
    </row>
    <row r="24" spans="1:18" x14ac:dyDescent="0.25">
      <c r="A24" s="1" t="s">
        <v>21</v>
      </c>
      <c r="B24" s="4">
        <v>2912</v>
      </c>
      <c r="C24" s="4">
        <v>2370</v>
      </c>
      <c r="D24" s="4">
        <v>2020</v>
      </c>
      <c r="E24" s="5">
        <v>1696</v>
      </c>
      <c r="G24" s="1" t="s">
        <v>21</v>
      </c>
      <c r="H24" s="4">
        <v>2923</v>
      </c>
      <c r="I24" s="4">
        <v>2094</v>
      </c>
      <c r="J24" s="4">
        <v>1166</v>
      </c>
      <c r="K24" s="5">
        <v>91</v>
      </c>
      <c r="M24" s="301"/>
      <c r="N24" s="302"/>
      <c r="O24" s="302"/>
      <c r="P24" s="302"/>
      <c r="Q24" s="302"/>
      <c r="R24" s="114"/>
    </row>
    <row r="25" spans="1:18" x14ac:dyDescent="0.25">
      <c r="A25" s="1" t="s">
        <v>22</v>
      </c>
      <c r="B25" s="4">
        <v>395</v>
      </c>
      <c r="C25" s="4">
        <v>319</v>
      </c>
      <c r="D25" s="4">
        <v>270</v>
      </c>
      <c r="E25" s="5">
        <v>224</v>
      </c>
      <c r="G25" s="1" t="s">
        <v>22</v>
      </c>
      <c r="H25" s="4">
        <v>390</v>
      </c>
      <c r="I25" s="4">
        <v>260</v>
      </c>
      <c r="J25" s="4">
        <v>141</v>
      </c>
      <c r="K25" s="5">
        <v>16</v>
      </c>
      <c r="M25" s="301"/>
      <c r="N25" s="302"/>
      <c r="O25" s="302"/>
      <c r="P25" s="302"/>
      <c r="Q25" s="302"/>
      <c r="R25" s="114"/>
    </row>
    <row r="26" spans="1:18" x14ac:dyDescent="0.25">
      <c r="A26" s="1" t="s">
        <v>23</v>
      </c>
      <c r="B26" s="4">
        <v>3</v>
      </c>
      <c r="C26" s="4">
        <v>9</v>
      </c>
      <c r="D26" s="4">
        <v>14</v>
      </c>
      <c r="E26" s="5">
        <v>21</v>
      </c>
      <c r="G26" s="1" t="s">
        <v>23</v>
      </c>
      <c r="H26" s="4">
        <v>3</v>
      </c>
      <c r="I26" s="4">
        <v>82</v>
      </c>
      <c r="J26" s="4">
        <v>238</v>
      </c>
      <c r="K26" s="5">
        <v>461</v>
      </c>
      <c r="M26" s="301"/>
      <c r="N26" s="302"/>
      <c r="O26" s="302"/>
      <c r="P26" s="302"/>
      <c r="Q26" s="302"/>
      <c r="R26" s="114"/>
    </row>
    <row r="27" spans="1:18" x14ac:dyDescent="0.25">
      <c r="A27" s="1" t="s">
        <v>20</v>
      </c>
      <c r="B27" s="4">
        <v>106</v>
      </c>
      <c r="C27" s="4">
        <v>100</v>
      </c>
      <c r="D27" s="4">
        <v>98</v>
      </c>
      <c r="E27" s="5">
        <v>97</v>
      </c>
      <c r="G27" s="1" t="s">
        <v>20</v>
      </c>
      <c r="H27" s="4">
        <v>98</v>
      </c>
      <c r="I27" s="4">
        <v>61</v>
      </c>
      <c r="J27" s="4">
        <v>33</v>
      </c>
      <c r="K27" s="5">
        <v>1</v>
      </c>
      <c r="M27" s="301"/>
      <c r="N27" s="302"/>
      <c r="O27" s="302"/>
      <c r="P27" s="302"/>
      <c r="Q27" s="302"/>
      <c r="R27" s="114"/>
    </row>
    <row r="28" spans="1:18" x14ac:dyDescent="0.25">
      <c r="A28" s="1" t="s">
        <v>18</v>
      </c>
      <c r="B28" s="4">
        <v>1</v>
      </c>
      <c r="C28" s="4">
        <v>1</v>
      </c>
      <c r="D28" s="4">
        <v>1</v>
      </c>
      <c r="E28" s="5">
        <v>0</v>
      </c>
      <c r="G28" s="1" t="s">
        <v>18</v>
      </c>
      <c r="H28" s="4">
        <v>8</v>
      </c>
      <c r="I28" s="4">
        <v>38</v>
      </c>
      <c r="J28" s="4">
        <v>61</v>
      </c>
      <c r="K28" s="5">
        <v>87</v>
      </c>
      <c r="M28" s="301"/>
      <c r="N28" s="302"/>
      <c r="O28" s="302"/>
      <c r="P28" s="302"/>
      <c r="Q28" s="302"/>
      <c r="R28" s="114"/>
    </row>
    <row r="29" spans="1:18" x14ac:dyDescent="0.25">
      <c r="A29" s="6" t="s">
        <v>24</v>
      </c>
      <c r="B29" s="18">
        <v>0</v>
      </c>
      <c r="C29" s="18">
        <v>0</v>
      </c>
      <c r="D29" s="18">
        <v>0</v>
      </c>
      <c r="E29" s="19">
        <v>0</v>
      </c>
      <c r="G29" s="1" t="s">
        <v>24</v>
      </c>
      <c r="H29" s="4">
        <v>0</v>
      </c>
      <c r="I29" s="4">
        <v>0</v>
      </c>
      <c r="J29" s="4">
        <v>0</v>
      </c>
      <c r="K29" s="5">
        <v>0</v>
      </c>
      <c r="M29" s="301"/>
      <c r="N29" s="303"/>
      <c r="O29" s="303"/>
      <c r="P29" s="303"/>
      <c r="Q29" s="303"/>
      <c r="R29" s="114"/>
    </row>
    <row r="30" spans="1:18"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8"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24" t="s">
        <v>184</v>
      </c>
      <c r="B48" s="17">
        <v>2015</v>
      </c>
      <c r="C48" s="17">
        <v>2025</v>
      </c>
      <c r="D48" s="17">
        <v>2035</v>
      </c>
      <c r="E48" s="17">
        <v>2050</v>
      </c>
      <c r="M48" s="114"/>
      <c r="N48" s="114"/>
      <c r="O48" s="114"/>
      <c r="P48" s="114"/>
      <c r="Q48" s="299"/>
    </row>
    <row r="49" spans="1:17" ht="89.25" customHeight="1" x14ac:dyDescent="0.25">
      <c r="A49" s="224"/>
      <c r="B49" s="214">
        <v>12</v>
      </c>
      <c r="C49" s="213">
        <v>56</v>
      </c>
      <c r="D49" s="213">
        <v>88</v>
      </c>
      <c r="E49" s="213">
        <v>129</v>
      </c>
      <c r="M49" s="114"/>
      <c r="N49" s="114"/>
      <c r="O49" s="114"/>
      <c r="P49" s="114"/>
      <c r="Q49" s="114"/>
    </row>
    <row r="50" spans="1:17" x14ac:dyDescent="0.25">
      <c r="M50" s="114"/>
      <c r="N50" s="114"/>
      <c r="O50" s="114"/>
      <c r="P50" s="114"/>
      <c r="Q50" s="114"/>
    </row>
    <row r="51" spans="1:17" x14ac:dyDescent="0.25">
      <c r="M51" s="114"/>
      <c r="N51" s="114"/>
      <c r="O51" s="114"/>
      <c r="P51" s="114"/>
      <c r="Q51" s="114"/>
    </row>
    <row r="52" spans="1:17" x14ac:dyDescent="0.25">
      <c r="M52" s="114"/>
      <c r="N52" s="114"/>
      <c r="O52" s="114"/>
      <c r="P52" s="114"/>
      <c r="Q52" s="114"/>
    </row>
    <row r="53" spans="1:17" x14ac:dyDescent="0.25">
      <c r="M53" s="114"/>
      <c r="N53" s="114"/>
      <c r="O53" s="114"/>
      <c r="P53" s="114"/>
      <c r="Q53" s="114"/>
    </row>
    <row r="54" spans="1:17" x14ac:dyDescent="0.25">
      <c r="M54" s="114"/>
      <c r="N54" s="114"/>
      <c r="O54" s="114"/>
      <c r="P54" s="114"/>
      <c r="Q54" s="114"/>
    </row>
    <row r="55" spans="1:17" x14ac:dyDescent="0.25">
      <c r="M55" s="114"/>
      <c r="N55" s="114"/>
      <c r="O55" s="114"/>
      <c r="P55" s="114"/>
      <c r="Q55" s="114"/>
    </row>
    <row r="56" spans="1:17" x14ac:dyDescent="0.25">
      <c r="M56" s="114"/>
      <c r="N56" s="114"/>
      <c r="O56" s="114"/>
      <c r="P56" s="114"/>
      <c r="Q56" s="114"/>
    </row>
    <row r="57" spans="1:17" x14ac:dyDescent="0.25">
      <c r="M57" s="114"/>
      <c r="N57" s="114"/>
      <c r="O57" s="114"/>
      <c r="P57" s="114"/>
      <c r="Q57" s="114"/>
    </row>
    <row r="58" spans="1:17" x14ac:dyDescent="0.25">
      <c r="M58" s="114"/>
      <c r="N58" s="114"/>
      <c r="O58" s="114"/>
      <c r="P58" s="114"/>
      <c r="Q58" s="114"/>
    </row>
    <row r="59" spans="1:17" x14ac:dyDescent="0.25">
      <c r="M59" s="114"/>
      <c r="N59" s="114"/>
      <c r="O59" s="114"/>
      <c r="P59" s="114"/>
      <c r="Q59" s="114"/>
    </row>
    <row r="60" spans="1:17" x14ac:dyDescent="0.25">
      <c r="M60" s="114"/>
      <c r="N60" s="114"/>
      <c r="O60" s="114"/>
      <c r="P60" s="114"/>
      <c r="Q60" s="114"/>
    </row>
    <row r="61" spans="1:17" x14ac:dyDescent="0.25">
      <c r="M61" s="114"/>
      <c r="N61" s="114"/>
      <c r="O61" s="114"/>
      <c r="P61" s="114"/>
      <c r="Q61" s="300"/>
    </row>
    <row r="62" spans="1:17" x14ac:dyDescent="0.25">
      <c r="M62" s="114"/>
      <c r="N62" s="114"/>
      <c r="O62" s="114"/>
      <c r="P62" s="114"/>
      <c r="Q62" s="114"/>
    </row>
    <row r="63" spans="1:17" x14ac:dyDescent="0.25">
      <c r="M63" s="114"/>
      <c r="N63" s="114"/>
      <c r="O63" s="114"/>
      <c r="P63" s="114"/>
      <c r="Q63" s="114"/>
    </row>
    <row r="64" spans="1:17" x14ac:dyDescent="0.25">
      <c r="M64" s="114"/>
      <c r="N64" s="114"/>
      <c r="O64" s="114"/>
      <c r="P64" s="114"/>
      <c r="Q64" s="114"/>
    </row>
    <row r="65" spans="13:17" x14ac:dyDescent="0.25">
      <c r="M65" s="114"/>
      <c r="N65" s="114"/>
      <c r="O65" s="114"/>
      <c r="P65" s="114"/>
      <c r="Q65" s="114"/>
    </row>
    <row r="66" spans="13:17" x14ac:dyDescent="0.25">
      <c r="M66" s="114"/>
      <c r="N66" s="114"/>
      <c r="O66" s="114"/>
      <c r="P66" s="114"/>
      <c r="Q66" s="114"/>
    </row>
    <row r="67" spans="13:17" x14ac:dyDescent="0.25">
      <c r="M67" s="114"/>
      <c r="N67" s="114"/>
      <c r="O67" s="114"/>
      <c r="P67" s="114"/>
      <c r="Q67" s="114"/>
    </row>
    <row r="68" spans="13:17" x14ac:dyDescent="0.25">
      <c r="M68" s="114"/>
      <c r="N68" s="114"/>
      <c r="O68" s="114"/>
      <c r="P68" s="114"/>
      <c r="Q68" s="114"/>
    </row>
    <row r="69" spans="13:17" x14ac:dyDescent="0.25">
      <c r="M69" s="114"/>
      <c r="N69" s="114"/>
      <c r="O69" s="114"/>
      <c r="P69" s="114"/>
      <c r="Q69" s="114"/>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21" t="s">
        <v>198</v>
      </c>
      <c r="B22" s="222"/>
      <c r="C22" s="222"/>
      <c r="D22" s="222"/>
      <c r="E22" s="223"/>
      <c r="G22" s="221" t="s">
        <v>199</v>
      </c>
      <c r="H22" s="222"/>
      <c r="I22" s="222"/>
      <c r="J22" s="222"/>
      <c r="K22" s="223"/>
      <c r="L22" s="22"/>
      <c r="M22" s="221" t="s">
        <v>35</v>
      </c>
      <c r="N22" s="222"/>
      <c r="O22" s="222"/>
      <c r="P22" s="222"/>
      <c r="Q22" s="223"/>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74.25" customHeight="1" x14ac:dyDescent="0.25">
      <c r="A49" s="22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2017-05-02T17:56:40Z</dcterms:modified>
</cp:coreProperties>
</file>