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S:\Move_to_Shared\Region\Energy\Act 174 Data\Town Data\Westfield\"/>
    </mc:Choice>
  </mc:AlternateContent>
  <bookViews>
    <workbookView xWindow="0" yWindow="0" windowWidth="28800" windowHeight="11610" tabRatio="838" firstSheet="1" activeTab="7"/>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5" i="198" l="1"/>
  <c r="Q66" i="198"/>
  <c r="Q67" i="198"/>
  <c r="Q68" i="198"/>
  <c r="P65" i="198"/>
  <c r="P66" i="198"/>
  <c r="P67" i="198"/>
  <c r="P68" i="198"/>
  <c r="O65" i="198"/>
  <c r="O66" i="198"/>
  <c r="O67" i="198"/>
  <c r="O68" i="198"/>
  <c r="N65" i="198"/>
  <c r="N66" i="198"/>
  <c r="N67" i="198"/>
  <c r="N68" i="198"/>
  <c r="O69" i="198"/>
  <c r="P69" i="198"/>
  <c r="Q69" i="198"/>
  <c r="O64" i="198"/>
  <c r="P64" i="198"/>
  <c r="Q64" i="198"/>
  <c r="N64" i="198"/>
  <c r="O57" i="198"/>
  <c r="P57" i="198"/>
  <c r="Q57" i="198"/>
  <c r="O56" i="198"/>
  <c r="P56" i="198"/>
  <c r="Q56" i="198"/>
  <c r="O55" i="198"/>
  <c r="P55" i="198"/>
  <c r="Q55" i="198"/>
  <c r="O54" i="198"/>
  <c r="P54" i="198"/>
  <c r="Q54" i="198"/>
  <c r="O53" i="198"/>
  <c r="P53" i="198"/>
  <c r="Q53" i="198"/>
  <c r="O52" i="198"/>
  <c r="P52" i="198"/>
  <c r="Q52" i="198"/>
  <c r="O51" i="198"/>
  <c r="P51" i="198"/>
  <c r="Q51" i="198"/>
  <c r="P58" i="198"/>
  <c r="Q58" i="198"/>
  <c r="O58" i="198"/>
  <c r="N58" i="198"/>
  <c r="N52" i="198"/>
  <c r="N53" i="198"/>
  <c r="N54" i="198"/>
  <c r="N55" i="198"/>
  <c r="N56" i="198"/>
  <c r="N57" i="198"/>
  <c r="N51" i="198"/>
  <c r="D57" i="20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E34" i="201"/>
  <c r="D34" i="201"/>
  <c r="G34" i="201" s="1"/>
  <c r="D33" i="201"/>
  <c r="G33" i="201" s="1"/>
  <c r="D32" i="201"/>
  <c r="G32" i="201" s="1"/>
  <c r="D31" i="201"/>
  <c r="G31" i="201" s="1"/>
  <c r="D30" i="201"/>
  <c r="G30" i="201" s="1"/>
  <c r="D29" i="201"/>
  <c r="G29" i="201" s="1"/>
  <c r="D28" i="201"/>
  <c r="G28" i="201" s="1"/>
  <c r="D27" i="201"/>
  <c r="G27" i="201" s="1"/>
  <c r="E26" i="201"/>
  <c r="D26" i="201"/>
  <c r="G26" i="201" s="1"/>
  <c r="D25" i="201"/>
  <c r="G25" i="201" s="1"/>
  <c r="D24" i="201"/>
  <c r="G24" i="201" s="1"/>
  <c r="D23" i="201"/>
  <c r="G23" i="201" s="1"/>
  <c r="G22" i="201"/>
  <c r="D22" i="201"/>
  <c r="G21" i="201"/>
  <c r="D21" i="201"/>
  <c r="D20" i="201"/>
  <c r="D19" i="201"/>
  <c r="G19" i="201" s="1"/>
  <c r="G18" i="201"/>
  <c r="D18" i="201"/>
  <c r="G17" i="201"/>
  <c r="E17" i="201"/>
  <c r="D17" i="201"/>
  <c r="D16" i="201"/>
  <c r="D15" i="201"/>
  <c r="G15" i="201" s="1"/>
  <c r="G14" i="201"/>
  <c r="D14" i="201"/>
  <c r="G13" i="201"/>
  <c r="D13" i="201"/>
  <c r="D12" i="201"/>
  <c r="D11" i="201"/>
  <c r="G11" i="201" s="1"/>
  <c r="G10" i="201"/>
  <c r="D10" i="201"/>
  <c r="E10" i="201" s="1"/>
  <c r="G9" i="201"/>
  <c r="D9" i="201"/>
  <c r="D8" i="201"/>
  <c r="E5" i="201"/>
  <c r="E4" i="201"/>
  <c r="D3" i="201"/>
  <c r="E3" i="201" s="1"/>
  <c r="C3" i="201"/>
  <c r="B3" i="201"/>
  <c r="G8" i="201" l="1"/>
  <c r="E8" i="201"/>
  <c r="H14" i="201"/>
  <c r="H19" i="201"/>
  <c r="E56" i="201"/>
  <c r="E54" i="201"/>
  <c r="E52" i="201"/>
  <c r="H52" i="201" s="1"/>
  <c r="E50" i="201"/>
  <c r="H50" i="201" s="1"/>
  <c r="E48" i="201"/>
  <c r="E46" i="201"/>
  <c r="E44" i="201"/>
  <c r="H44" i="201" s="1"/>
  <c r="E42" i="201"/>
  <c r="H42" i="201" s="1"/>
  <c r="H10" i="201"/>
  <c r="E13" i="201"/>
  <c r="H15" i="201"/>
  <c r="G20" i="201"/>
  <c r="H20" i="201" s="1"/>
  <c r="E20" i="201"/>
  <c r="E22" i="201"/>
  <c r="E24" i="201"/>
  <c r="H24" i="201" s="1"/>
  <c r="E32" i="201"/>
  <c r="E40" i="201"/>
  <c r="E9" i="201"/>
  <c r="H9" i="201" s="1"/>
  <c r="G16" i="201"/>
  <c r="H16" i="201" s="1"/>
  <c r="E16" i="201"/>
  <c r="E18" i="201"/>
  <c r="H18" i="201" s="1"/>
  <c r="H22" i="201"/>
  <c r="E30" i="201"/>
  <c r="E38" i="201"/>
  <c r="G12" i="201"/>
  <c r="E12" i="201"/>
  <c r="E14" i="201"/>
  <c r="E21" i="201"/>
  <c r="E28" i="201"/>
  <c r="H28" i="201" s="1"/>
  <c r="E36" i="201"/>
  <c r="H13" i="201"/>
  <c r="H17" i="201"/>
  <c r="H21" i="201"/>
  <c r="H27" i="201"/>
  <c r="H29" i="201"/>
  <c r="H35" i="201"/>
  <c r="H37" i="201"/>
  <c r="H43" i="201"/>
  <c r="H45" i="201"/>
  <c r="H51" i="201"/>
  <c r="H53" i="201"/>
  <c r="E11" i="201"/>
  <c r="H11" i="201" s="1"/>
  <c r="E15" i="201"/>
  <c r="E19" i="201"/>
  <c r="E23" i="201"/>
  <c r="H23" i="201" s="1"/>
  <c r="E25" i="201"/>
  <c r="H25" i="201" s="1"/>
  <c r="E27" i="201"/>
  <c r="E29" i="201"/>
  <c r="E31" i="201"/>
  <c r="H31" i="201" s="1"/>
  <c r="E33" i="201"/>
  <c r="H33" i="201" s="1"/>
  <c r="E35" i="201"/>
  <c r="E37" i="201"/>
  <c r="E39" i="201"/>
  <c r="H39" i="201" s="1"/>
  <c r="E41" i="201"/>
  <c r="H41" i="201" s="1"/>
  <c r="E43" i="201"/>
  <c r="E45" i="201"/>
  <c r="E47" i="201"/>
  <c r="H47" i="201" s="1"/>
  <c r="E49" i="201"/>
  <c r="H49" i="201" s="1"/>
  <c r="E51" i="201"/>
  <c r="E53" i="201"/>
  <c r="E55" i="201"/>
  <c r="H55" i="201" s="1"/>
  <c r="E57" i="201"/>
  <c r="H57" i="201" s="1"/>
  <c r="H26" i="201"/>
  <c r="H30" i="201"/>
  <c r="H32" i="201"/>
  <c r="H34" i="201"/>
  <c r="H36" i="201"/>
  <c r="H38" i="201"/>
  <c r="H40" i="201"/>
  <c r="H46" i="201"/>
  <c r="H48" i="201"/>
  <c r="H54" i="201"/>
  <c r="H56" i="201"/>
  <c r="H12" i="201" l="1"/>
  <c r="H8" i="201"/>
  <c r="H58" i="201" s="1"/>
  <c r="Q20" i="198" l="1"/>
  <c r="Q21" i="198"/>
  <c r="Q22" i="198"/>
  <c r="Q23" i="198"/>
  <c r="Q24" i="198"/>
  <c r="Q25" i="198"/>
  <c r="Q26" i="198"/>
  <c r="Q27" i="198"/>
  <c r="Q28" i="198"/>
  <c r="Q19" i="198"/>
  <c r="P19" i="198"/>
  <c r="P20" i="198"/>
  <c r="P21" i="198"/>
  <c r="P22" i="198"/>
  <c r="P23" i="198"/>
  <c r="P24" i="198"/>
  <c r="P25" i="198"/>
  <c r="P26" i="198"/>
  <c r="P27" i="198"/>
  <c r="P28" i="198"/>
  <c r="O20" i="198"/>
  <c r="O21" i="198"/>
  <c r="O22" i="198"/>
  <c r="O23" i="198"/>
  <c r="O24" i="198"/>
  <c r="O25" i="198"/>
  <c r="O26" i="198"/>
  <c r="O27" i="198"/>
  <c r="O28" i="198"/>
  <c r="O19" i="198"/>
  <c r="P29" i="198"/>
  <c r="Q29" i="198"/>
  <c r="N29" i="198"/>
  <c r="N20" i="198"/>
  <c r="N21" i="198"/>
  <c r="N22" i="198"/>
  <c r="N23" i="198"/>
  <c r="N24" i="198"/>
  <c r="N25" i="198"/>
  <c r="N26" i="198"/>
  <c r="N27" i="198"/>
  <c r="N28" i="198"/>
  <c r="N19" i="198"/>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O29" i="198" s="1"/>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S64" i="197"/>
  <c r="AE68" i="197"/>
  <c r="AA88" i="197"/>
  <c r="T96" i="197"/>
  <c r="AB112" i="197"/>
  <c r="S116" i="197"/>
  <c r="AE120" i="197"/>
  <c r="AA124" i="197"/>
  <c r="X128" i="197"/>
  <c r="S132" i="197"/>
  <c r="AB140" i="197"/>
  <c r="W144" i="197"/>
  <c r="AA145" i="197"/>
  <c r="T148" i="197"/>
  <c r="AE152" i="197"/>
  <c r="AA156" i="197"/>
  <c r="X160" i="197"/>
  <c r="S164" i="197"/>
  <c r="AB168" i="197"/>
  <c r="AB172" i="197"/>
  <c r="T176" i="197"/>
  <c r="AE176" i="197"/>
  <c r="T180" i="197"/>
  <c r="AE180" i="197"/>
  <c r="AD181" i="197"/>
  <c r="W184" i="197"/>
  <c r="V188" i="197"/>
  <c r="AD188" i="197"/>
  <c r="Y192" i="197"/>
  <c r="V196" i="197"/>
  <c r="AD196" i="197"/>
  <c r="Y200" i="197"/>
  <c r="V204" i="197"/>
  <c r="AD204" i="197"/>
  <c r="Y208" i="197"/>
  <c r="V212" i="197"/>
  <c r="AD212" i="197"/>
  <c r="Y216" i="197"/>
  <c r="V220" i="197"/>
  <c r="AD220" i="197"/>
  <c r="Y224" i="197"/>
  <c r="V228" i="197"/>
  <c r="AD228" i="197"/>
  <c r="Y232" i="197"/>
  <c r="T236" i="197"/>
  <c r="Y236" i="197"/>
  <c r="AD236" i="197"/>
  <c r="X237" i="197"/>
  <c r="V240" i="197"/>
  <c r="AB240" i="197"/>
  <c r="V244" i="197"/>
  <c r="AB244" i="197"/>
  <c r="U245" i="197"/>
  <c r="X248" i="197"/>
  <c r="AC248" i="197"/>
  <c r="R12" i="197"/>
  <c r="R28" i="197"/>
  <c r="R44" i="197"/>
  <c r="R60" i="197"/>
  <c r="R76" i="197"/>
  <c r="R92" i="197"/>
  <c r="R108"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Q109" i="197"/>
  <c r="Y109" i="197" s="1"/>
  <c r="Q110" i="197"/>
  <c r="Q111" i="197"/>
  <c r="T111" i="197" s="1"/>
  <c r="Q112" i="197"/>
  <c r="AA112" i="197" s="1"/>
  <c r="Q113" i="197"/>
  <c r="Z113" i="197" s="1"/>
  <c r="Q114" i="197"/>
  <c r="Q115" i="197"/>
  <c r="Q116" i="197"/>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U235" i="197" l="1"/>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K4" i="197" s="1"/>
  <c r="AG174" i="197"/>
  <c r="AG158" i="197"/>
  <c r="AG142" i="197"/>
  <c r="AG126" i="197"/>
  <c r="AG110" i="197"/>
  <c r="AG94" i="197"/>
  <c r="AG78" i="197"/>
  <c r="AG62" i="197"/>
  <c r="AG46" i="197"/>
  <c r="AG29" i="197"/>
  <c r="AG13" i="197"/>
  <c r="AK8" i="197" s="1"/>
  <c r="O6" i="193"/>
  <c r="P6" i="193"/>
  <c r="Q6" i="193"/>
  <c r="R6" i="193"/>
  <c r="R15" i="193"/>
  <c r="Q15" i="193"/>
  <c r="P15" i="193"/>
  <c r="O15" i="193"/>
  <c r="R13" i="193"/>
  <c r="Q13" i="193"/>
  <c r="P13" i="193"/>
  <c r="O13" i="193"/>
  <c r="P9" i="193"/>
  <c r="Q9" i="193"/>
  <c r="R9" i="193"/>
  <c r="O9" i="193"/>
  <c r="R7" i="193"/>
  <c r="Q7" i="193"/>
  <c r="P7" i="193"/>
  <c r="O7" i="193"/>
  <c r="AH246" i="197" l="1"/>
  <c r="AH108" i="197"/>
  <c r="AH60" i="197"/>
  <c r="AH155" i="197"/>
  <c r="AH18" i="197"/>
  <c r="AH168" i="197"/>
  <c r="AH7" i="197"/>
  <c r="AH190" i="197"/>
  <c r="AH117" i="197"/>
  <c r="AH148" i="197"/>
  <c r="AH179" i="197"/>
  <c r="AH177" i="197"/>
  <c r="AH198" i="197"/>
  <c r="AH230" i="197"/>
  <c r="AH220" i="197"/>
  <c r="AH171" i="197"/>
  <c r="AH107" i="197"/>
  <c r="AH91" i="197"/>
  <c r="AH59" i="197"/>
  <c r="AH226" i="197"/>
  <c r="AH114" i="197"/>
  <c r="AH82" i="197"/>
  <c r="AH137" i="197"/>
  <c r="AH9" i="197"/>
  <c r="AH104" i="197"/>
  <c r="AH56" i="197"/>
  <c r="AH199" i="197"/>
  <c r="AH87" i="197"/>
  <c r="AH55" i="197"/>
  <c r="AH23" i="197"/>
  <c r="AH213" i="197"/>
  <c r="AH181" i="197"/>
  <c r="AH133" i="197"/>
  <c r="AH101" i="197"/>
  <c r="AH85" i="197"/>
  <c r="AH37" i="197"/>
  <c r="AH116" i="197"/>
  <c r="AH52" i="197"/>
  <c r="AH36" i="197"/>
  <c r="AH4" i="197"/>
  <c r="AH211" i="197"/>
  <c r="AH147" i="197"/>
  <c r="AH115" i="197"/>
  <c r="AH35" i="197"/>
  <c r="AH138" i="197"/>
  <c r="AH58" i="197"/>
  <c r="AH42" i="197"/>
  <c r="AH129" i="197"/>
  <c r="AH234" i="197"/>
  <c r="AH112" i="197"/>
  <c r="AH96" i="197"/>
  <c r="AH64" i="197"/>
  <c r="AH16" i="197"/>
  <c r="AH191" i="197"/>
  <c r="AH175" i="197"/>
  <c r="AH79" i="197"/>
  <c r="AH31" i="197"/>
  <c r="AH86" i="197"/>
  <c r="AH205" i="197"/>
  <c r="AH141" i="197"/>
  <c r="AH45" i="197"/>
  <c r="AH13"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40" i="186"/>
  <c r="F39" i="186"/>
  <c r="F37" i="186"/>
  <c r="F35" i="186"/>
  <c r="F33" i="186"/>
  <c r="F32" i="186"/>
  <c r="F29" i="186"/>
  <c r="F28" i="186"/>
  <c r="F27" i="186"/>
  <c r="E41" i="186"/>
  <c r="F38" i="186" s="1"/>
  <c r="F31" i="186" l="1"/>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B83" i="188" s="1"/>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69"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D73" i="188" l="1"/>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I12" i="192" s="1"/>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K29" i="199" l="1"/>
  <c r="K28" i="199"/>
  <c r="K27" i="199"/>
  <c r="K26" i="199"/>
  <c r="E18" i="189" s="1"/>
  <c r="K25" i="199"/>
  <c r="K24" i="199"/>
  <c r="J29" i="199"/>
  <c r="J28" i="199"/>
  <c r="J27" i="199"/>
  <c r="J26" i="199"/>
  <c r="D18" i="189" s="1"/>
  <c r="J25" i="199"/>
  <c r="J24" i="199"/>
  <c r="I29" i="199"/>
  <c r="I28" i="199"/>
  <c r="I27" i="199"/>
  <c r="I26" i="199"/>
  <c r="C18" i="189" s="1"/>
  <c r="I25" i="199"/>
  <c r="I24" i="199"/>
  <c r="B24" i="199"/>
  <c r="H29" i="199"/>
  <c r="H28" i="199"/>
  <c r="H27" i="199"/>
  <c r="H26" i="199"/>
  <c r="B18" i="189" s="1"/>
  <c r="H25" i="199"/>
  <c r="H24" i="199"/>
  <c r="C24" i="199"/>
  <c r="C25" i="199"/>
  <c r="C26" i="199"/>
  <c r="C27" i="199"/>
  <c r="C28" i="199"/>
  <c r="C29" i="199"/>
  <c r="D49" i="199"/>
  <c r="D5" i="190" s="1"/>
  <c r="D7" i="190" s="1"/>
  <c r="E25" i="199"/>
  <c r="E29" i="199"/>
  <c r="D24" i="199"/>
  <c r="D25" i="199"/>
  <c r="D26" i="199"/>
  <c r="D27" i="199"/>
  <c r="D28" i="199"/>
  <c r="D29" i="199"/>
  <c r="C49" i="199"/>
  <c r="C5" i="190" s="1"/>
  <c r="C7" i="190" s="1"/>
  <c r="E26" i="199"/>
  <c r="E28" i="199"/>
  <c r="B25" i="199"/>
  <c r="B26" i="199"/>
  <c r="B27" i="199"/>
  <c r="B28" i="199"/>
  <c r="B29" i="199"/>
  <c r="E49" i="199"/>
  <c r="E5" i="190" s="1"/>
  <c r="E7" i="190" s="1"/>
  <c r="E24" i="199"/>
  <c r="E27" i="199"/>
  <c r="B49" i="199"/>
  <c r="B5" i="190" s="1"/>
  <c r="B7" i="190" s="1"/>
  <c r="I13" i="199"/>
  <c r="C13" i="199"/>
  <c r="I12" i="199"/>
  <c r="C12" i="199"/>
  <c r="I11" i="199"/>
  <c r="C11" i="199"/>
  <c r="I10" i="199"/>
  <c r="C10" i="199"/>
  <c r="I9" i="199"/>
  <c r="C9" i="199"/>
  <c r="I8" i="199"/>
  <c r="C8" i="199"/>
  <c r="I7" i="199"/>
  <c r="C7" i="199"/>
  <c r="I6" i="199"/>
  <c r="C6" i="199"/>
  <c r="I5" i="199"/>
  <c r="C59" i="188" s="1"/>
  <c r="C5" i="199"/>
  <c r="I4" i="199"/>
  <c r="C4" i="199"/>
  <c r="H13" i="199"/>
  <c r="B13" i="199"/>
  <c r="H12" i="199"/>
  <c r="B12" i="199"/>
  <c r="H11" i="199"/>
  <c r="B11" i="199"/>
  <c r="H10" i="199"/>
  <c r="B10" i="199"/>
  <c r="H9" i="199"/>
  <c r="B9" i="199"/>
  <c r="H8" i="199"/>
  <c r="B8" i="199"/>
  <c r="H7" i="199"/>
  <c r="B7" i="199"/>
  <c r="H6" i="199"/>
  <c r="B6" i="199"/>
  <c r="H5" i="199"/>
  <c r="B59" i="188" s="1"/>
  <c r="B5" i="199"/>
  <c r="H4" i="199"/>
  <c r="B4" i="199"/>
  <c r="K13" i="199"/>
  <c r="E13" i="199"/>
  <c r="K12" i="199"/>
  <c r="E12" i="199"/>
  <c r="K11" i="199"/>
  <c r="E11" i="199"/>
  <c r="K10" i="199"/>
  <c r="E10" i="199"/>
  <c r="K9" i="199"/>
  <c r="E9" i="199"/>
  <c r="K8" i="199"/>
  <c r="E8" i="199"/>
  <c r="K7" i="199"/>
  <c r="E7" i="199"/>
  <c r="K6" i="199"/>
  <c r="E6" i="199"/>
  <c r="K5" i="199"/>
  <c r="E59" i="188" s="1"/>
  <c r="E5" i="199"/>
  <c r="K4" i="199"/>
  <c r="E4" i="199"/>
  <c r="J13" i="199"/>
  <c r="D13" i="199"/>
  <c r="J12" i="199"/>
  <c r="D12" i="199"/>
  <c r="J11" i="199"/>
  <c r="D11" i="199"/>
  <c r="J10" i="199"/>
  <c r="D10" i="199"/>
  <c r="J9" i="199"/>
  <c r="D9" i="199"/>
  <c r="J8" i="199"/>
  <c r="D8" i="199"/>
  <c r="J7" i="199"/>
  <c r="D7" i="199"/>
  <c r="J6" i="199"/>
  <c r="D6" i="199"/>
  <c r="J5" i="199"/>
  <c r="D59" i="188" s="1"/>
  <c r="D5" i="199"/>
  <c r="J4" i="199"/>
  <c r="D4" i="199"/>
  <c r="D23" i="189" l="1"/>
  <c r="B55" i="188"/>
  <c r="B56" i="188" s="1"/>
  <c r="B65" i="188"/>
  <c r="C65" i="188"/>
  <c r="D25" i="188"/>
  <c r="E25" i="188"/>
  <c r="B25" i="188"/>
  <c r="C25" i="188"/>
  <c r="I14" i="199"/>
  <c r="C26" i="188" s="1"/>
  <c r="C55" i="188"/>
  <c r="C56" i="188" s="1"/>
  <c r="D62" i="188"/>
  <c r="D27" i="188"/>
  <c r="E62" i="188"/>
  <c r="E27" i="188"/>
  <c r="E14" i="199"/>
  <c r="E24" i="188" s="1"/>
  <c r="I30" i="199"/>
  <c r="B62" i="188"/>
  <c r="B27" i="188"/>
  <c r="C62" i="188"/>
  <c r="C27" i="188"/>
  <c r="E30" i="199"/>
  <c r="C23" i="189"/>
  <c r="E23" i="189"/>
  <c r="D55" i="188"/>
  <c r="D56" i="188" s="1"/>
  <c r="D65" i="188"/>
  <c r="K14" i="199"/>
  <c r="E26" i="188" s="1"/>
  <c r="E55" i="188"/>
  <c r="E56" i="188" s="1"/>
  <c r="E65" i="188"/>
  <c r="C14" i="199"/>
  <c r="C24" i="188" s="1"/>
  <c r="K30" i="199"/>
  <c r="B23" i="189"/>
  <c r="H14" i="199"/>
  <c r="B26" i="188" s="1"/>
  <c r="J14" i="199"/>
  <c r="D26" i="188" s="1"/>
  <c r="D14" i="199"/>
  <c r="D24" i="188" s="1"/>
  <c r="H30" i="199"/>
  <c r="B14" i="199"/>
  <c r="B24" i="188" s="1"/>
  <c r="J30" i="199"/>
  <c r="D30" i="199"/>
  <c r="B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B24" i="189" l="1"/>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38" i="185" s="1"/>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<sst xmlns="http://schemas.openxmlformats.org/spreadsheetml/2006/main" count="1659" uniqueCount="573">
  <si>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</si>
  <si>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</si>
  <si>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</si>
  <si>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</si>
  <si>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</si>
  <si>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</si>
  <si>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</si>
  <si>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</si>
  <si>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</si>
  <si>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</si>
  <si>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</si>
  <si>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</si>
  <si>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</si>
  <si>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</si>
  <si>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</si>
  <si>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</si>
  <si>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</si>
  <si>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</si>
  <si>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</si>
  <si>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</si>
  <si>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</si>
  <si>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</si>
  <si>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</si>
  <si>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</si>
  <si>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</si>
  <si>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</si>
  <si>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</si>
  <si>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</si>
  <si>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</si>
  <si>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</si>
  <si>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</si>
  <si>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</si>
  <si>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</si>
  <si>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</si>
  <si>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</si>
  <si>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</si>
  <si>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</si>
  <si>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</si>
  <si>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</si>
  <si>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</si>
  <si>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</si>
  <si>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</si>
  <si>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</si>
  <si>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</si>
  <si>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</si>
  <si>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</si>
  <si>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</si>
  <si>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</si>
  <si>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</si>
  <si>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</si>
  <si>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</si>
  <si>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</si>
  <si>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</si>
  <si>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</si>
  <si>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</si>
  <si>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</si>
  <si>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</si>
  <si>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</si>
  <si>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</si>
  <si>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</si>
  <si>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</si>
  <si>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</si>
  <si>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</si>
  <si>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</si>
  <si>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</si>
  <si>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</si>
  <si>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</si>
  <si>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</si>
  <si>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</si>
  <si>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</si>
  <si>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</si>
  <si>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</si>
  <si>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</si>
  <si>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</si>
  <si>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</si>
  <si>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</si>
  <si>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</si>
  <si>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</si>
  <si>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</si>
  <si>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</si>
  <si>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</si>
  <si>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</si>
  <si>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</si>
  <si>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</si>
  <si>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</si>
  <si>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</si>
  <si>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</si>
  <si>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</si>
  <si>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</si>
  <si>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</si>
  <si>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</si>
  <si>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</si>
  <si>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</si>
  <si>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</si>
  <si>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</si>
  <si>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</si>
  <si>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</si>
  <si>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</si>
  <si>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</si>
  <si>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</si>
  <si>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</si>
  <si>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</si>
  <si>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</si>
  <si>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</si>
  <si>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</si>
  <si>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</si>
  <si>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</si>
  <si>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</si>
  <si>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</si>
  <si>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</si>
  <si>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</si>
  <si>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</si>
  <si>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</si>
  <si>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</si>
  <si>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</si>
  <si>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</si>
  <si>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</si>
  <si>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</si>
  <si>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</si>
  <si>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</si>
  <si>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</si>
  <si>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</si>
  <si>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</si>
  <si>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</si>
  <si>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</si>
  <si>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</si>
  <si>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</si>
  <si>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</si>
  <si>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</si>
  <si>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</si>
  <si>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</si>
  <si>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</si>
  <si>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</si>
  <si>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</si>
  <si>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</si>
  <si>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</si>
  <si>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</si>
  <si>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</si>
  <si>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</si>
  <si>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</si>
  <si>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</si>
  <si>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</si>
  <si>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</si>
  <si>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</si>
  <si>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</si>
  <si>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</si>
  <si>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</si>
  <si>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</si>
  <si>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</si>
  <si>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</si>
  <si>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</si>
  <si>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</si>
  <si>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</si>
  <si>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</si>
  <si>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</si>
  <si>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</si>
  <si>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</si>
  <si>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</si>
  <si>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</si>
  <si>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</si>
  <si>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</si>
  <si>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</si>
  <si>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</si>
  <si>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</si>
  <si>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</si>
  <si>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</si>
  <si>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</si>
  <si>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</si>
  <si>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</si>
  <si>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</si>
  <si>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</si>
  <si>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</si>
  <si>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</si>
  <si>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</si>
  <si>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</si>
  <si>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</si>
  <si>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</si>
  <si>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</si>
  <si>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</si>
  <si>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</si>
  <si>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</si>
  <si>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</si>
  <si>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</si>
  <si>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</si>
  <si>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</si>
  <si>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</si>
  <si>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</si>
  <si>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</si>
  <si>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</si>
  <si>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</si>
  <si>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</si>
  <si>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</si>
  <si>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</si>
  <si>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</si>
  <si>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</si>
  <si>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</si>
  <si>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</si>
  <si>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</si>
  <si>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</si>
  <si>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</si>
  <si>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</si>
  <si>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</si>
  <si>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</si>
  <si>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</si>
  <si>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</si>
  <si>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</si>
  <si>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</si>
  <si>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</si>
  <si>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</si>
  <si>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</si>
  <si>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</si>
  <si>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</si>
  <si>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</si>
  <si>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</si>
  <si>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</si>
  <si>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</si>
  <si>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</si>
  <si>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</si>
  <si>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</si>
  <si>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</si>
  <si>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</si>
  <si>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</si>
  <si>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</si>
  <si>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</si>
  <si>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</si>
  <si>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</si>
  <si>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</si>
  <si>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</si>
  <si>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</si>
  <si>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</si>
  <si>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</si>
  <si>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</si>
  <si>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</si>
  <si>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</si>
  <si>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</si>
  <si>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</si>
  <si>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</si>
  <si>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</si>
  <si>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</si>
  <si>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</si>
  <si>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</si>
  <si>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</si>
  <si>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</si>
  <si>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</si>
  <si>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</si>
  <si>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</si>
  <si>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</si>
  <si>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</si>
  <si>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</si>
  <si>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</si>
  <si>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</si>
  <si>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</si>
  <si>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</si>
  <si>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</si>
  <si>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</si>
  <si>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</si>
  <si>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</si>
  <si>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</si>
  <si>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</si>
  <si>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</si>
  <si>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</si>
  <si>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</si>
  <si>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</si>
  <si>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</si>
  <si>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</si>
  <si>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</si>
  <si>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</si>
  <si>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</si>
  <si>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</si>
  <si>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</si>
  <si>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</si>
  <si>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</si>
  <si>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</si>
  <si>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</si>
  <si>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</si>
  <si>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</si>
  <si>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</si>
  <si>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</si>
  <si>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</si>
  <si>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</si>
  <si>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</si>
  <si>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</si>
  <si>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</si>
  <si>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</si>
  <si>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</si>
  <si>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</si>
  <si>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</si>
  <si>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</si>
  <si>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</si>
  <si>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</si>
  <si>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</si>
  <si>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</si>
  <si>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</si>
  <si>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</si>
  <si>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</si>
  <si>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</si>
  <si>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</si>
  <si>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</si>
  <si>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</si>
  <si>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</si>
  <si>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</si>
  <si>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</si>
  <si>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</si>
  <si>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</si>
  <si>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</si>
  <si>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</si>
  <si>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</si>
  <si>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</si>
  <si>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</si>
  <si>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</si>
  <si>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</si>
  <si>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</si>
  <si>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</si>
  <si>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</si>
  <si>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</si>
  <si>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</si>
  <si>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</si>
  <si>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</si>
  <si>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</si>
  <si>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</si>
  <si>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</si>
  <si>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</si>
  <si>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</si>
  <si>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</si>
  <si>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</si>
  <si>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</si>
  <si>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</si>
  <si>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</si>
  <si>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</si>
  <si>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</si>
  <si>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</si>
  <si>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</si>
  <si>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</si>
  <si>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</si>
  <si>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</si>
  <si>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</si>
  <si>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</si>
  <si>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</si>
  <si>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</si>
  <si>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</si>
  <si>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</si>
  <si>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</si>
  <si>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</si>
  <si>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</si>
  <si>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</si>
  <si>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</si>
  <si>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</si>
  <si>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</si>
  <si>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</si>
  <si>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</si>
  <si>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</si>
  <si>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</si>
  <si>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</si>
  <si>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</si>
  <si>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</si>
  <si>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</si>
  <si>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</si>
  <si>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</si>
  <si>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</si>
  <si>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</si>
  <si>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</si>
  <si>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</si>
  <si>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</si>
  <si>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</si>
  <si>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</si>
  <si>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</si>
  <si>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</si>
  <si>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</si>
  <si>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</si>
  <si>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</si>
  <si>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</si>
  <si>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</si>
  <si>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</si>
  <si>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</si>
  <si>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</si>
  <si>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</si>
  <si>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</si>
  <si>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</si>
  <si>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</si>
  <si>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</si>
  <si>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</si>
  <si>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</si>
  <si>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</si>
  <si>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</si>
  <si>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</si>
  <si>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</si>
  <si>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</si>
  <si>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</si>
  <si>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</si>
  <si>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</si>
  <si>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</si>
  <si>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</si>
  <si>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</si>
  <si>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</si>
  <si>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</si>
  <si>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</si>
  <si>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</si>
  <si>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</si>
  <si>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</si>
  <si>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</si>
  <si>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</si>
  <si>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</si>
  <si>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</si>
  <si>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</si>
  <si>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</si>
  <si>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</si>
  <si>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</si>
  <si>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</si>
  <si>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</si>
  <si>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</si>
  <si>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</si>
  <si>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</si>
  <si>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</si>
  <si>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</si>
  <si>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</si>
  <si>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</si>
  <si>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</si>
  <si>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</si>
  <si>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</si>
  <si>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</si>
  <si>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</si>
  <si>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</si>
  <si>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</si>
  <si>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</si>
  <si>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</si>
  <si>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</si>
  <si>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</si>
  <si>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</si>
  <si>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</si>
  <si>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</si>
  <si>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</si>
  <si>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</si>
  <si>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</si>
  <si>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</si>
  <si>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</si>
  <si>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</si>
  <si>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</si>
  <si>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</si>
  <si>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</si>
  <si>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</si>
  <si>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</si>
  <si>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</si>
  <si>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</si>
  <si>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</si>
  <si>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</si>
  <si>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</si>
  <si>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</si>
  <si>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</si>
  <si>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</si>
  <si>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</si>
  <si>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</si>
  <si>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</si>
  <si>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</si>
  <si>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</si>
  <si>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</si>
  <si>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</si>
  <si>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</si>
  <si>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</si>
  <si>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</si>
  <si>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</si>
  <si>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</si>
  <si>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</si>
  <si>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</si>
  <si>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</si>
  <si>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</si>
  <si>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</si>
  <si>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</si>
  <si>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</si>
  <si>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</si>
  <si>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</si>
  <si>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</si>
  <si>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</si>
  <si>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</si>
  <si>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</si>
  <si>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</si>
  <si>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</si>
  <si>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</si>
  <si>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</si>
  <si>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</si>
  <si>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</si>
  <si>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</si>
  <si>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</si>
  <si>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</si>
  <si>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</si>
  <si>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</si>
  <si>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</si>
  <si>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</si>
  <si>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</si>
  <si>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</si>
  <si>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</si>
  <si>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</si>
  <si>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</si>
  <si>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</si>
  <si>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</si>
  <si>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</si>
  <si>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</si>
  <si>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</si>
  <si>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</si>
  <si>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</si>
  <si>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</si>
  <si>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</si>
  <si>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</si>
  <si>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</si>
  <si>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</si>
  <si>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</si>
  <si>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</si>
  <si>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</si>
  <si>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</si>
  <si>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</si>
  <si>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</si>
  <si>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</si>
  <si>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</si>
  <si>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</si>
  <si>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</si>
  <si>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</si>
  <si>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</si>
  <si>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</si>
  <si>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</si>
  <si>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</si>
  <si>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</si>
  <si>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</si>
  <si>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</si>
  <si>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</si>
  <si>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</si>
  <si>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</si>
  <si>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</si>
  <si>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</si>
  <si>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</si>
  <si>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</si>
  <si>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</si>
  <si>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</si>
  <si>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</si>
  <si>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</si>
  <si>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</si>
  <si>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</si>
  <si>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</si>
  <si>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</si>
  <si>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</si>
  <si>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</si>
  <si>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</si>
  <si>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</si>
  <si>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</si>
  <si>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</si>
  <si>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</si>
  <si>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</si>
  <si>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</si>
  <si>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</si>
  <si>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</si>
  <si>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Electric Resistence</t>
  </si>
  <si>
    <t>Wood Pellets</t>
  </si>
  <si>
    <t>Avoidance</t>
  </si>
  <si>
    <t>Orleans</t>
  </si>
  <si>
    <t>Caledonia</t>
  </si>
  <si>
    <t>NEK</t>
  </si>
  <si>
    <t>Residential units</t>
  </si>
  <si>
    <t>Owner</t>
  </si>
  <si>
    <t>Rented</t>
  </si>
  <si>
    <t>Towns</t>
  </si>
  <si>
    <t>Owned</t>
  </si>
  <si>
    <t>% of NEK (Weight)</t>
  </si>
  <si>
    <t>Total MMBTUs</t>
  </si>
  <si>
    <t>Average</t>
  </si>
  <si>
    <t>Weighted Avg.</t>
  </si>
  <si>
    <t>Newport town</t>
  </si>
  <si>
    <t>St. Johnsbury</t>
  </si>
  <si>
    <t>UTG</t>
  </si>
  <si>
    <t>Share of Region's Residential Units</t>
  </si>
  <si>
    <t>Commercial Energy Consumption by Fuel: 90x2050 vs. Reference</t>
  </si>
  <si>
    <t>Residential Energy  Consumption by Fuel: 90 x 2050 vs. Reference</t>
  </si>
  <si>
    <t>Share of Region's Commercial Stock:</t>
  </si>
  <si>
    <t xml:space="preserve">LOCAL </t>
  </si>
  <si>
    <t>Light Duty Vehicle Energy Consumption: 90x2050 vs. Reference</t>
  </si>
  <si>
    <t>Share of Region: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</si>
</sst>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8">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8">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0" xfId="0" applyFill="1" applyBorder="1" applyAlignment="1">
      <alignment horizontal="left" vertical="center" wrapText="1"/>
    </xf>
    <xf numFmtId="0" fontId="0" fillId="5" borderId="27"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0" fontId="0" fillId="5" borderId="5" xfId="0" applyFill="1" applyBorder="1"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7" fillId="2" borderId="13" xfId="3"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center" wrapText="1"/>
    </xf>
    <xf numFmtId="0" fontId="0" fillId="0" borderId="19" xfId="0" applyBorder="1" applyAlignment="1">
      <alignment horizontal="left" vertical="center"/>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Residential Energy Consumption by Fuel:</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Scenario'!$M$19</c:f>
              <c:strCache>
                <c:ptCount val="1"/>
                <c:pt idx="0">
                  <c:v>Biodistillates</c:v>
                </c:pt>
              </c:strCache>
            </c:strRef>
          </c:tx>
          <c:spPr>
            <a:solidFill>
              <a:schemeClr val="accent1"/>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Scenario'!$N$19:$Q$19</c:f>
              <c:numCache>
                <c:formatCode>0</c:formatCode>
                <c:ptCount val="4"/>
                <c:pt idx="0">
                  <c:v>98</c:v>
                </c:pt>
                <c:pt idx="1">
                  <c:v>350.00000000000006</c:v>
                </c:pt>
                <c:pt idx="2">
                  <c:v>574.00000000000011</c:v>
                </c:pt>
                <c:pt idx="3">
                  <c:v>889</c:v>
                </c:pt>
              </c:numCache>
            </c:numRef>
          </c:val>
          <c:extLst>
            <c:ext xmlns:c16="http://schemas.microsoft.com/office/drawing/2014/chart" uri="{C3380CC4-5D6E-409C-BE32-E72D297353CC}">
              <c16:uniqueId val="{00000000-1EC6-4535-9994-BE2F9D26C6F5}"/>
            </c:ext>
          </c:extLst>
        </c:ser>
        <c:ser>
          <c:idx val="1"/>
          <c:order val="1"/>
          <c:tx>
            <c:strRef>
              <c:f>'LEAP Scenario'!$M$20</c:f>
              <c:strCache>
                <c:ptCount val="1"/>
                <c:pt idx="0">
                  <c:v>Cord Wood</c:v>
                </c:pt>
              </c:strCache>
            </c:strRef>
          </c:tx>
          <c:spPr>
            <a:solidFill>
              <a:schemeClr val="accent2"/>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Scenario'!$N$20:$Q$20</c:f>
              <c:numCache>
                <c:formatCode>0</c:formatCode>
                <c:ptCount val="4"/>
                <c:pt idx="0">
                  <c:v>13013</c:v>
                </c:pt>
                <c:pt idx="1">
                  <c:v>10290.000000000002</c:v>
                </c:pt>
                <c:pt idx="2">
                  <c:v>7896</c:v>
                </c:pt>
                <c:pt idx="3">
                  <c:v>5250</c:v>
                </c:pt>
              </c:numCache>
            </c:numRef>
          </c:val>
          <c:extLst>
            <c:ext xmlns:c16="http://schemas.microsoft.com/office/drawing/2014/chart" uri="{C3380CC4-5D6E-409C-BE32-E72D297353CC}">
              <c16:uniqueId val="{00000001-1EC6-4535-9994-BE2F9D26C6F5}"/>
            </c:ext>
          </c:extLst>
        </c:ser>
        <c:ser>
          <c:idx val="2"/>
          <c:order val="2"/>
          <c:tx>
            <c:strRef>
              <c:f>'LEAP Scenario'!$M$21</c:f>
              <c:strCache>
                <c:ptCount val="1"/>
                <c:pt idx="0">
                  <c:v>Electric Resistence</c:v>
                </c:pt>
              </c:strCache>
            </c:strRef>
          </c:tx>
          <c:spPr>
            <a:solidFill>
              <a:schemeClr val="accent3"/>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Scenario'!$N$21:$Q$21</c:f>
              <c:numCache>
                <c:formatCode>0</c:formatCode>
                <c:ptCount val="4"/>
                <c:pt idx="0">
                  <c:v>1449</c:v>
                </c:pt>
                <c:pt idx="1">
                  <c:v>1309</c:v>
                </c:pt>
                <c:pt idx="2">
                  <c:v>714</c:v>
                </c:pt>
                <c:pt idx="3">
                  <c:v>217</c:v>
                </c:pt>
              </c:numCache>
            </c:numRef>
          </c:val>
          <c:extLst>
            <c:ext xmlns:c16="http://schemas.microsoft.com/office/drawing/2014/chart" uri="{C3380CC4-5D6E-409C-BE32-E72D297353CC}">
              <c16:uniqueId val="{00000002-1EC6-4535-9994-BE2F9D26C6F5}"/>
            </c:ext>
          </c:extLst>
        </c:ser>
        <c:ser>
          <c:idx val="3"/>
          <c:order val="3"/>
          <c:tx>
            <c:strRef>
              <c:f>'LEAP Scenario'!$M$22</c:f>
              <c:strCache>
                <c:ptCount val="1"/>
                <c:pt idx="0">
                  <c:v>Heat Pump</c:v>
                </c:pt>
              </c:strCache>
            </c:strRef>
          </c:tx>
          <c:spPr>
            <a:solidFill>
              <a:schemeClr val="accent4"/>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Scenario'!$N$22:$Q$22</c:f>
              <c:numCache>
                <c:formatCode>0</c:formatCode>
                <c:ptCount val="4"/>
                <c:pt idx="0">
                  <c:v>161</c:v>
                </c:pt>
                <c:pt idx="1">
                  <c:v>770</c:v>
                </c:pt>
                <c:pt idx="2">
                  <c:v>1575</c:v>
                </c:pt>
                <c:pt idx="3">
                  <c:v>1890.0000000000002</c:v>
                </c:pt>
              </c:numCache>
            </c:numRef>
          </c:val>
          <c:extLst>
            <c:ext xmlns:c16="http://schemas.microsoft.com/office/drawing/2014/chart" uri="{C3380CC4-5D6E-409C-BE32-E72D297353CC}">
              <c16:uniqueId val="{00000003-1EC6-4535-9994-BE2F9D26C6F5}"/>
            </c:ext>
          </c:extLst>
        </c:ser>
        <c:ser>
          <c:idx val="4"/>
          <c:order val="4"/>
          <c:tx>
            <c:strRef>
              <c:f>'LEAP Scenario'!$M$23</c:f>
              <c:strCache>
                <c:ptCount val="1"/>
                <c:pt idx="0">
                  <c:v>Heat Pump Water Heater</c:v>
                </c:pt>
              </c:strCache>
            </c:strRef>
          </c:tx>
          <c:spPr>
            <a:solidFill>
              <a:srgbClr val="FF0000"/>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Scenario'!$N$23:$Q$23</c:f>
              <c:numCache>
                <c:formatCode>0</c:formatCode>
                <c:ptCount val="4"/>
                <c:pt idx="0">
                  <c:v>112</c:v>
                </c:pt>
                <c:pt idx="1">
                  <c:v>322</c:v>
                </c:pt>
                <c:pt idx="2">
                  <c:v>630</c:v>
                </c:pt>
                <c:pt idx="3">
                  <c:v>882</c:v>
                </c:pt>
              </c:numCache>
            </c:numRef>
          </c:val>
          <c:extLst>
            <c:ext xmlns:c16="http://schemas.microsoft.com/office/drawing/2014/chart" uri="{C3380CC4-5D6E-409C-BE32-E72D297353CC}">
              <c16:uniqueId val="{00000004-1EC6-4535-9994-BE2F9D26C6F5}"/>
            </c:ext>
          </c:extLst>
        </c:ser>
        <c:ser>
          <c:idx val="5"/>
          <c:order val="5"/>
          <c:tx>
            <c:strRef>
              <c:f>'LEAP Scenario'!$M$24</c:f>
              <c:strCache>
                <c:ptCount val="1"/>
                <c:pt idx="0">
                  <c:v>Kerosene</c:v>
                </c:pt>
              </c:strCache>
            </c:strRef>
          </c:tx>
          <c:spPr>
            <a:solidFill>
              <a:schemeClr val="accent6"/>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Scenario'!$N$24:$Q$24</c:f>
              <c:numCache>
                <c:formatCode>0</c:formatCode>
                <c:ptCount val="4"/>
                <c:pt idx="0">
                  <c:v>840</c:v>
                </c:pt>
                <c:pt idx="1">
                  <c:v>973</c:v>
                </c:pt>
                <c:pt idx="2">
                  <c:v>1127</c:v>
                </c:pt>
                <c:pt idx="3">
                  <c:v>0</c:v>
                </c:pt>
              </c:numCache>
            </c:numRef>
          </c:val>
          <c:extLst>
            <c:ext xmlns:c16="http://schemas.microsoft.com/office/drawing/2014/chart" uri="{C3380CC4-5D6E-409C-BE32-E72D297353CC}">
              <c16:uniqueId val="{00000005-1EC6-4535-9994-BE2F9D26C6F5}"/>
            </c:ext>
          </c:extLst>
        </c:ser>
        <c:ser>
          <c:idx val="6"/>
          <c:order val="6"/>
          <c:tx>
            <c:strRef>
              <c:f>'LEAP Scenario'!$M$25</c:f>
              <c:strCache>
                <c:ptCount val="1"/>
                <c:pt idx="0">
                  <c:v>LPG</c:v>
                </c:pt>
              </c:strCache>
            </c:strRef>
          </c:tx>
          <c:spPr>
            <a:solidFill>
              <a:schemeClr val="accent1">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Scenario'!$N$25:$Q$25</c:f>
              <c:numCache>
                <c:formatCode>0</c:formatCode>
                <c:ptCount val="4"/>
                <c:pt idx="0">
                  <c:v>4949</c:v>
                </c:pt>
                <c:pt idx="1">
                  <c:v>3871</c:v>
                </c:pt>
                <c:pt idx="2">
                  <c:v>2478</c:v>
                </c:pt>
                <c:pt idx="3">
                  <c:v>868</c:v>
                </c:pt>
              </c:numCache>
            </c:numRef>
          </c:val>
          <c:extLst>
            <c:ext xmlns:c16="http://schemas.microsoft.com/office/drawing/2014/chart" uri="{C3380CC4-5D6E-409C-BE32-E72D297353CC}">
              <c16:uniqueId val="{00000006-1EC6-4535-9994-BE2F9D26C6F5}"/>
            </c:ext>
          </c:extLst>
        </c:ser>
        <c:ser>
          <c:idx val="8"/>
          <c:order val="8"/>
          <c:tx>
            <c:strRef>
              <c:f>'LEAP Scenario'!$M$27</c:f>
              <c:strCache>
                <c:ptCount val="1"/>
                <c:pt idx="0">
                  <c:v>Oil</c:v>
                </c:pt>
              </c:strCache>
            </c:strRef>
          </c:tx>
          <c:spPr>
            <a:solidFill>
              <a:schemeClr val="accent3">
                <a:lumMod val="60000"/>
              </a:schemeClr>
            </a:solid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Scenario'!$N$27:$Q$27</c:f>
              <c:numCache>
                <c:formatCode>0</c:formatCode>
                <c:ptCount val="4"/>
                <c:pt idx="0">
                  <c:v>11858</c:v>
                </c:pt>
                <c:pt idx="1">
                  <c:v>7966</c:v>
                </c:pt>
                <c:pt idx="2">
                  <c:v>4207</c:v>
                </c:pt>
                <c:pt idx="3">
                  <c:v>0</c:v>
                </c:pt>
              </c:numCache>
            </c:numRef>
          </c:val>
          <c:extLst>
            <c:ext xmlns:c16="http://schemas.microsoft.com/office/drawing/2014/chart" uri="{C3380CC4-5D6E-409C-BE32-E72D297353CC}">
              <c16:uniqueId val="{00000008-1EC6-4535-9994-BE2F9D26C6F5}"/>
            </c:ext>
          </c:extLst>
        </c:ser>
        <c:ser>
          <c:idx val="9"/>
          <c:order val="9"/>
          <c:tx>
            <c:strRef>
              <c:f>'LEAP Scenario'!$M$28</c:f>
              <c:strCache>
                <c:ptCount val="1"/>
                <c:pt idx="0">
                  <c:v>Wood Pellets</c:v>
                </c:pt>
              </c:strCache>
            </c:strRef>
          </c:tx>
          <c:spPr>
            <a:pattFill prst="dkDnDiag">
              <a:fgClr>
                <a:schemeClr val="accent2">
                  <a:lumMod val="50000"/>
                </a:schemeClr>
              </a:fgClr>
              <a:bgClr>
                <a:schemeClr val="bg1"/>
              </a:bgClr>
            </a:pattFill>
            <a:ln>
              <a:noFill/>
            </a:ln>
            <a:effectLst/>
          </c:spPr>
          <c:invertIfNegative val="0"/>
          <c:cat>
            <c:numRef>
              <c:f>'LEAP Scenario'!$N$18:$Q$18</c:f>
              <c:numCache>
                <c:formatCode>General</c:formatCode>
                <c:ptCount val="4"/>
                <c:pt idx="0">
                  <c:v>2015</c:v>
                </c:pt>
                <c:pt idx="1">
                  <c:v>2025</c:v>
                </c:pt>
                <c:pt idx="2">
                  <c:v>2035</c:v>
                </c:pt>
                <c:pt idx="3">
                  <c:v>2050</c:v>
                </c:pt>
              </c:numCache>
            </c:numRef>
          </c:cat>
          <c:val>
            <c:numRef>
              <c:f>'LEAP Scenario'!$N$28:$Q$28</c:f>
              <c:numCache>
                <c:formatCode>0</c:formatCode>
                <c:ptCount val="4"/>
                <c:pt idx="0">
                  <c:v>2212</c:v>
                </c:pt>
                <c:pt idx="1">
                  <c:v>2471</c:v>
                </c:pt>
                <c:pt idx="2">
                  <c:v>2219</c:v>
                </c:pt>
                <c:pt idx="3">
                  <c:v>2072</c:v>
                </c:pt>
              </c:numCache>
            </c:numRef>
          </c:val>
          <c:extLst>
            <c:ext xmlns:c16="http://schemas.microsoft.com/office/drawing/2014/chart" uri="{C3380CC4-5D6E-409C-BE32-E72D297353CC}">
              <c16:uniqueId val="{00000009-1EC6-4535-9994-BE2F9D26C6F5}"/>
            </c:ext>
          </c:extLst>
        </c:ser>
        <c:ser>
          <c:idx val="10"/>
          <c:order val="10"/>
          <c:tx>
            <c:strRef>
              <c:f>'LEAP Scenario'!$M$29</c:f>
              <c:strCache>
                <c:ptCount val="1"/>
                <c:pt idx="0">
                  <c:v>Avoidance</c:v>
                </c:pt>
              </c:strCache>
            </c:strRef>
          </c:tx>
          <c:spPr>
            <a:noFill/>
            <a:ln>
              <a:solidFill>
                <a:schemeClr val="tx1"/>
              </a:solidFill>
              <a:prstDash val="sysDot"/>
            </a:ln>
            <a:effectLst/>
          </c:spPr>
          <c:invertIfNegative val="0"/>
          <c:cat>
            <c:numRef>
              <c:f>'LEAP Scenario'!$N$18:$Q$18</c:f>
              <c:numCache>
                <c:formatCode>General</c:formatCode>
                <c:ptCount val="4"/>
                <c:pt idx="0">
                  <c:v>2015</c:v>
                </c:pt>
                <c:pt idx="1">
                  <c:v>2025</c:v>
                </c:pt>
                <c:pt idx="2">
                  <c:v>2035</c:v>
                </c:pt>
                <c:pt idx="3">
                  <c:v>2050</c:v>
                </c:pt>
              </c:numCache>
            </c:numRef>
          </c:cat>
          <c:val>
            <c:numRef>
              <c:f>'LEAP Scenario'!$N$29:$Q$29</c:f>
              <c:numCache>
                <c:formatCode>_(* #,##0_);_(* \(#,##0\);_(* "-"??_);_(@_)</c:formatCode>
                <c:ptCount val="4"/>
                <c:pt idx="0">
                  <c:v>917</c:v>
                </c:pt>
                <c:pt idx="1">
                  <c:v>1533.0000000000002</c:v>
                </c:pt>
                <c:pt idx="2">
                  <c:v>3248</c:v>
                </c:pt>
                <c:pt idx="3">
                  <c:v>4767</c:v>
                </c:pt>
              </c:numCache>
            </c:numRef>
          </c:val>
          <c:extLst>
            <c:ext xmlns:c16="http://schemas.microsoft.com/office/drawing/2014/chart" uri="{C3380CC4-5D6E-409C-BE32-E72D297353CC}">
              <c16:uniqueId val="{0000000A-1EC6-4535-9994-BE2F9D26C6F5}"/>
            </c:ext>
          </c:extLst>
        </c:ser>
        <c:dLbls>
          <c:showLegendKey val="0"/>
          <c:showVal val="0"/>
          <c:showCatName val="0"/>
          <c:showSerName val="0"/>
          <c:showPercent val="0"/>
          <c:showBubbleSize val="0"/>
        </c:dLbls>
        <c:gapWidth val="27"/>
        <c:overlap val="100"/>
        <c:axId val="591967440"/>
        <c:axId val="591967768"/>
        <c:extLst>
          <c:ext xmlns:c15="http://schemas.microsoft.com/office/drawing/2012/chart" uri="{02D57815-91ED-43cb-92C2-25804820EDAC}">
            <c15:filteredBarSeries>
              <c15:ser>
                <c:idx val="7"/>
                <c:order val="7"/>
                <c:tx>
                  <c:strRef>
                    <c:extLst>
                      <c:ext uri="{02D57815-91ED-43cb-92C2-25804820EDAC}">
                        <c15:formulaRef>
                          <c15:sqref>'LEAP Scenario'!$M$26</c15:sqref>
                        </c15:formulaRef>
                      </c:ext>
                    </c:extLst>
                    <c:strCache>
                      <c:ptCount val="1"/>
                      <c:pt idx="0">
                        <c:v>Natural Gas</c:v>
                      </c:pt>
                    </c:strCache>
                  </c:strRef>
                </c:tx>
                <c:spPr>
                  <a:solidFill>
                    <a:schemeClr val="accent2">
                      <a:lumMod val="60000"/>
                    </a:schemeClr>
                  </a:solidFill>
                  <a:ln>
                    <a:noFill/>
                  </a:ln>
                  <a:effectLst/>
                </c:spPr>
                <c:invertIfNegative val="0"/>
                <c:cat>
                  <c:numRef>
                    <c:extLst>
                      <c:ext uri="{02D57815-91ED-43cb-92C2-25804820EDAC}">
                        <c15:formulaRef>
                          <c15:sqref>'LEAP Scenario'!$N$18:$Q$18</c15:sqref>
                        </c15:formulaRef>
                      </c:ext>
                    </c:extLst>
                    <c:numCache>
                      <c:formatCode>General</c:formatCode>
                      <c:ptCount val="4"/>
                      <c:pt idx="0">
                        <c:v>2015</c:v>
                      </c:pt>
                      <c:pt idx="1">
                        <c:v>2025</c:v>
                      </c:pt>
                      <c:pt idx="2">
                        <c:v>2035</c:v>
                      </c:pt>
                      <c:pt idx="3">
                        <c:v>2050</c:v>
                      </c:pt>
                    </c:numCache>
                  </c:numRef>
                </c:cat>
                <c:val>
                  <c:numRef>
                    <c:extLst>
                      <c:ext uri="{02D57815-91ED-43cb-92C2-25804820EDAC}">
                        <c15:formulaRef>
                          <c15:sqref>'LEAP Scenario'!$N$26:$Q$26</c15:sqref>
                        </c15:formulaRef>
                      </c:ext>
                    </c:extLst>
                    <c:numCache>
                      <c:formatCode>0</c:formatCode>
                      <c:ptCount val="4"/>
                      <c:pt idx="0">
                        <c:v>0</c:v>
                      </c:pt>
                      <c:pt idx="1">
                        <c:v>0</c:v>
                      </c:pt>
                      <c:pt idx="2">
                        <c:v>0</c:v>
                      </c:pt>
                      <c:pt idx="3">
                        <c:v>0</c:v>
                      </c:pt>
                    </c:numCache>
                  </c:numRef>
                </c:val>
                <c:extLst>
                  <c:ext xmlns:c16="http://schemas.microsoft.com/office/drawing/2014/chart" uri="{C3380CC4-5D6E-409C-BE32-E72D297353CC}">
                    <c16:uniqueId val="{00000007-1EC6-4535-9994-BE2F9D26C6F5}"/>
                  </c:ext>
                </c:extLst>
              </c15:ser>
            </c15:filteredBarSeries>
          </c:ext>
        </c:extLst>
      </c:barChart>
      <c:catAx>
        <c:axId val="59196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768"/>
        <c:crosses val="autoZero"/>
        <c:auto val="1"/>
        <c:lblAlgn val="ctr"/>
        <c:lblOffset val="100"/>
        <c:noMultiLvlLbl val="0"/>
      </c:catAx>
      <c:valAx>
        <c:axId val="591967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aseline="0">
                    <a:solidFill>
                      <a:schemeClr val="tx1"/>
                    </a:solidFill>
                  </a:rPr>
                  <a:t>In Millions of BTUs (MMBTUs)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91967440"/>
        <c:crosses val="autoZero"/>
        <c:crossBetween val="between"/>
      </c:valAx>
      <c:spPr>
        <a:noFill/>
        <a:ln>
          <a:noFill/>
        </a:ln>
        <a:effectLst/>
      </c:spPr>
    </c:plotArea>
    <c:legend>
      <c:legendPos val="r"/>
      <c:layout>
        <c:manualLayout>
          <c:xMode val="edge"/>
          <c:yMode val="edge"/>
          <c:x val="0.68143919510061246"/>
          <c:y val="0.39410044539375655"/>
          <c:w val="0.31856071642964717"/>
          <c:h val="0.548590405036694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Commercial Energy Consumption:</a:t>
            </a:r>
          </a:p>
          <a:p>
            <a:pPr>
              <a:defRPr/>
            </a:pPr>
            <a:r>
              <a:rPr lang="en-US" baseline="0">
                <a:solidFill>
                  <a:schemeClr val="tx1"/>
                </a:solidFill>
              </a:rPr>
              <a:t>90x2050 vs. Reference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Scenario'!$M$51</c:f>
              <c:strCache>
                <c:ptCount val="1"/>
                <c:pt idx="0">
                  <c:v>Biofuel</c:v>
                </c:pt>
              </c:strCache>
            </c:strRef>
          </c:tx>
          <c:spPr>
            <a:solidFill>
              <a:schemeClr val="accent1"/>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Scenario'!$N$51:$Q$51</c:f>
              <c:numCache>
                <c:formatCode>General</c:formatCode>
                <c:ptCount val="4"/>
                <c:pt idx="0">
                  <c:v>40</c:v>
                </c:pt>
                <c:pt idx="1">
                  <c:v>245</c:v>
                </c:pt>
                <c:pt idx="2">
                  <c:v>460</c:v>
                </c:pt>
                <c:pt idx="3">
                  <c:v>820.00000000000011</c:v>
                </c:pt>
              </c:numCache>
            </c:numRef>
          </c:val>
          <c:extLst>
            <c:ext xmlns:c16="http://schemas.microsoft.com/office/drawing/2014/chart" uri="{C3380CC4-5D6E-409C-BE32-E72D297353CC}">
              <c16:uniqueId val="{00000000-F3BC-4D3C-B4B9-D76554E0F6FB}"/>
            </c:ext>
          </c:extLst>
        </c:ser>
        <c:ser>
          <c:idx val="1"/>
          <c:order val="1"/>
          <c:tx>
            <c:strRef>
              <c:f>'LEAP Scenario'!$M$52</c:f>
              <c:strCache>
                <c:ptCount val="1"/>
                <c:pt idx="0">
                  <c:v>Distillate Fuel Oil</c:v>
                </c:pt>
              </c:strCache>
            </c:strRef>
          </c:tx>
          <c:spPr>
            <a:solidFill>
              <a:schemeClr val="accent2"/>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Scenario'!$N$52:$Q$52</c:f>
              <c:numCache>
                <c:formatCode>General</c:formatCode>
                <c:ptCount val="4"/>
                <c:pt idx="0">
                  <c:v>2040</c:v>
                </c:pt>
                <c:pt idx="1">
                  <c:v>1520</c:v>
                </c:pt>
                <c:pt idx="2">
                  <c:v>935</c:v>
                </c:pt>
                <c:pt idx="3">
                  <c:v>5</c:v>
                </c:pt>
              </c:numCache>
            </c:numRef>
          </c:val>
          <c:extLst>
            <c:ext xmlns:c16="http://schemas.microsoft.com/office/drawing/2014/chart" uri="{C3380CC4-5D6E-409C-BE32-E72D297353CC}">
              <c16:uniqueId val="{00000001-F3BC-4D3C-B4B9-D76554E0F6FB}"/>
            </c:ext>
          </c:extLst>
        </c:ser>
        <c:ser>
          <c:idx val="2"/>
          <c:order val="2"/>
          <c:tx>
            <c:strRef>
              <c:f>'LEAP Scenario'!$M$53</c:f>
              <c:strCache>
                <c:ptCount val="1"/>
                <c:pt idx="0">
                  <c:v>Electric Use</c:v>
                </c:pt>
              </c:strCache>
            </c:strRef>
          </c:tx>
          <c:spPr>
            <a:solidFill>
              <a:schemeClr val="accent6">
                <a:lumMod val="7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Scenario'!$N$53:$Q$53</c:f>
              <c:numCache>
                <c:formatCode>General</c:formatCode>
                <c:ptCount val="4"/>
                <c:pt idx="0">
                  <c:v>3720</c:v>
                </c:pt>
                <c:pt idx="1">
                  <c:v>3685</c:v>
                </c:pt>
                <c:pt idx="2">
                  <c:v>3570.0000000000005</c:v>
                </c:pt>
                <c:pt idx="3">
                  <c:v>3460</c:v>
                </c:pt>
              </c:numCache>
            </c:numRef>
          </c:val>
          <c:extLst>
            <c:ext xmlns:c16="http://schemas.microsoft.com/office/drawing/2014/chart" uri="{C3380CC4-5D6E-409C-BE32-E72D297353CC}">
              <c16:uniqueId val="{00000002-F3BC-4D3C-B4B9-D76554E0F6FB}"/>
            </c:ext>
          </c:extLst>
        </c:ser>
        <c:ser>
          <c:idx val="3"/>
          <c:order val="3"/>
          <c:tx>
            <c:strRef>
              <c:f>'LEAP Scenario'!$M$54</c:f>
              <c:strCache>
                <c:ptCount val="1"/>
                <c:pt idx="0">
                  <c:v>LPG</c:v>
                </c:pt>
              </c:strCache>
            </c:strRef>
          </c:tx>
          <c:spPr>
            <a:solidFill>
              <a:schemeClr val="accent5">
                <a:lumMod val="50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Scenario'!$N$54:$Q$54</c:f>
              <c:numCache>
                <c:formatCode>General</c:formatCode>
                <c:ptCount val="4"/>
                <c:pt idx="0">
                  <c:v>1495</c:v>
                </c:pt>
                <c:pt idx="1">
                  <c:v>1290</c:v>
                </c:pt>
                <c:pt idx="2">
                  <c:v>1045</c:v>
                </c:pt>
                <c:pt idx="3">
                  <c:v>665</c:v>
                </c:pt>
              </c:numCache>
            </c:numRef>
          </c:val>
          <c:extLst>
            <c:ext xmlns:c16="http://schemas.microsoft.com/office/drawing/2014/chart" uri="{C3380CC4-5D6E-409C-BE32-E72D297353CC}">
              <c16:uniqueId val="{00000003-F3BC-4D3C-B4B9-D76554E0F6FB}"/>
            </c:ext>
          </c:extLst>
        </c:ser>
        <c:ser>
          <c:idx val="5"/>
          <c:order val="4"/>
          <c:tx>
            <c:strRef>
              <c:f>'LEAP Scenario'!$M$56</c:f>
              <c:strCache>
                <c:ptCount val="1"/>
                <c:pt idx="0">
                  <c:v>Residual Fuel Oil</c:v>
                </c:pt>
              </c:strCache>
            </c:strRef>
          </c:tx>
          <c:spPr>
            <a:solidFill>
              <a:schemeClr val="tx1">
                <a:lumMod val="65000"/>
                <a:lumOff val="35000"/>
              </a:schemeClr>
            </a:solid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Scenario'!$N$56:$Q$56</c:f>
              <c:numCache>
                <c:formatCode>General</c:formatCode>
                <c:ptCount val="4"/>
                <c:pt idx="0">
                  <c:v>210</c:v>
                </c:pt>
                <c:pt idx="1">
                  <c:v>155</c:v>
                </c:pt>
                <c:pt idx="2">
                  <c:v>95</c:v>
                </c:pt>
                <c:pt idx="3">
                  <c:v>0</c:v>
                </c:pt>
              </c:numCache>
            </c:numRef>
          </c:val>
          <c:extLst>
            <c:ext xmlns:c16="http://schemas.microsoft.com/office/drawing/2014/chart" uri="{C3380CC4-5D6E-409C-BE32-E72D297353CC}">
              <c16:uniqueId val="{00000005-F3BC-4D3C-B4B9-D76554E0F6FB}"/>
            </c:ext>
          </c:extLst>
        </c:ser>
        <c:ser>
          <c:idx val="6"/>
          <c:order val="5"/>
          <c:tx>
            <c:strRef>
              <c:f>'LEAP Scenario'!$M$57</c:f>
              <c:strCache>
                <c:ptCount val="1"/>
                <c:pt idx="0">
                  <c:v>Wood and wood waste consumption</c:v>
                </c:pt>
              </c:strCache>
            </c:strRef>
          </c:tx>
          <c:spPr>
            <a:pattFill prst="dkDnDiag">
              <a:fgClr>
                <a:schemeClr val="accent2">
                  <a:lumMod val="50000"/>
                </a:schemeClr>
              </a:fgClr>
              <a:bgClr>
                <a:schemeClr val="bg1"/>
              </a:bgClr>
            </a:pattFill>
            <a:ln>
              <a:no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Scenario'!$N$57:$Q$57</c:f>
              <c:numCache>
                <c:formatCode>General</c:formatCode>
                <c:ptCount val="4"/>
                <c:pt idx="0">
                  <c:v>705</c:v>
                </c:pt>
                <c:pt idx="1">
                  <c:v>965</c:v>
                </c:pt>
                <c:pt idx="2">
                  <c:v>1220</c:v>
                </c:pt>
                <c:pt idx="3">
                  <c:v>1660.0000000000002</c:v>
                </c:pt>
              </c:numCache>
            </c:numRef>
          </c:val>
          <c:extLst>
            <c:ext xmlns:c16="http://schemas.microsoft.com/office/drawing/2014/chart" uri="{C3380CC4-5D6E-409C-BE32-E72D297353CC}">
              <c16:uniqueId val="{00000006-F3BC-4D3C-B4B9-D76554E0F6FB}"/>
            </c:ext>
          </c:extLst>
        </c:ser>
        <c:ser>
          <c:idx val="7"/>
          <c:order val="6"/>
          <c:tx>
            <c:strRef>
              <c:f>'LEAP Scenario'!$M$58</c:f>
              <c:strCache>
                <c:ptCount val="1"/>
                <c:pt idx="0">
                  <c:v>Avoidance</c:v>
                </c:pt>
              </c:strCache>
            </c:strRef>
          </c:tx>
          <c:spPr>
            <a:noFill/>
            <a:ln>
              <a:solidFill>
                <a:schemeClr val="tx1"/>
              </a:solidFill>
            </a:ln>
            <a:effectLst/>
          </c:spPr>
          <c:invertIfNegative val="0"/>
          <c:cat>
            <c:numRef>
              <c:f>'LEAP Scenario'!$N$50:$Q$50</c:f>
              <c:numCache>
                <c:formatCode>General</c:formatCode>
                <c:ptCount val="4"/>
                <c:pt idx="0">
                  <c:v>2015</c:v>
                </c:pt>
                <c:pt idx="1">
                  <c:v>2025</c:v>
                </c:pt>
                <c:pt idx="2">
                  <c:v>2035</c:v>
                </c:pt>
                <c:pt idx="3">
                  <c:v>2050</c:v>
                </c:pt>
              </c:numCache>
            </c:numRef>
          </c:cat>
          <c:val>
            <c:numRef>
              <c:f>'LEAP Scenario'!$N$58:$Q$58</c:f>
              <c:numCache>
                <c:formatCode>General</c:formatCode>
                <c:ptCount val="4"/>
                <c:pt idx="0">
                  <c:v>70</c:v>
                </c:pt>
                <c:pt idx="1">
                  <c:v>435</c:v>
                </c:pt>
                <c:pt idx="2">
                  <c:v>825.00000000000011</c:v>
                </c:pt>
                <c:pt idx="3">
                  <c:v>1465</c:v>
                </c:pt>
              </c:numCache>
            </c:numRef>
          </c:val>
          <c:extLst>
            <c:ext xmlns:c16="http://schemas.microsoft.com/office/drawing/2014/chart" uri="{C3380CC4-5D6E-409C-BE32-E72D297353CC}">
              <c16:uniqueId val="{00000007-F3BC-4D3C-B4B9-D76554E0F6FB}"/>
            </c:ext>
          </c:extLst>
        </c:ser>
        <c:dLbls>
          <c:showLegendKey val="0"/>
          <c:showVal val="0"/>
          <c:showCatName val="0"/>
          <c:showSerName val="0"/>
          <c:showPercent val="0"/>
          <c:showBubbleSize val="0"/>
        </c:dLbls>
        <c:gapWidth val="150"/>
        <c:overlap val="100"/>
        <c:axId val="630624616"/>
        <c:axId val="630625928"/>
      </c:barChart>
      <c:catAx>
        <c:axId val="630624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5928"/>
        <c:crosses val="autoZero"/>
        <c:auto val="1"/>
        <c:lblAlgn val="ctr"/>
        <c:lblOffset val="100"/>
        <c:noMultiLvlLbl val="0"/>
      </c:catAx>
      <c:valAx>
        <c:axId val="630625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solidFill>
                      <a:schemeClr val="tx1"/>
                    </a:solidFill>
                  </a:rPr>
                  <a:t>In Millions of BTUs (MMBTUs)</a:t>
                </a:r>
              </a:p>
            </c:rich>
          </c:tx>
          <c:layout>
            <c:manualLayout>
              <c:xMode val="edge"/>
              <c:yMode val="edge"/>
              <c:x val="2.7923214238992373E-2"/>
              <c:y val="0.2754019039087904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30624616"/>
        <c:crosses val="autoZero"/>
        <c:crossBetween val="between"/>
      </c:valAx>
      <c:spPr>
        <a:noFill/>
        <a:ln>
          <a:noFill/>
        </a:ln>
        <a:effectLst/>
      </c:spPr>
    </c:plotArea>
    <c:legend>
      <c:legendPos val="r"/>
      <c:layout>
        <c:manualLayout>
          <c:xMode val="edge"/>
          <c:yMode val="edge"/>
          <c:x val="0.69423183153395596"/>
          <c:y val="0.23596866350437506"/>
          <c:w val="0.29007364890165138"/>
          <c:h val="0.7241679976973721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solidFill>
                  <a:schemeClr val="tx1"/>
                </a:solidFill>
              </a:rPr>
              <a:t>LEAP: Light Duty Vehicle Energy Consumption:</a:t>
            </a:r>
          </a:p>
          <a:p>
            <a:pPr>
              <a:defRPr/>
            </a:pPr>
            <a:r>
              <a:rPr lang="en-US" baseline="0">
                <a:solidFill>
                  <a:schemeClr val="tx1"/>
                </a:solidFill>
              </a:rPr>
              <a:t>90x2050 vs. Reference</a:t>
            </a:r>
          </a:p>
        </c:rich>
      </c:tx>
      <c:layout>
        <c:manualLayout>
          <c:xMode val="edge"/>
          <c:yMode val="edge"/>
          <c:x val="0.16901240423948646"/>
          <c:y val="3.247452995948903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'LEAP Scenario'!$M$64</c:f>
              <c:strCache>
                <c:ptCount val="1"/>
                <c:pt idx="0">
                  <c:v>Gasoline</c:v>
                </c:pt>
              </c:strCache>
            </c:strRef>
          </c:tx>
          <c:spPr>
            <a:solidFill>
              <a:schemeClr val="tx1">
                <a:lumMod val="65000"/>
                <a:lumOff val="3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Scenario'!$N$64:$Q$64</c:f>
              <c:numCache>
                <c:formatCode>General</c:formatCode>
                <c:ptCount val="4"/>
                <c:pt idx="0">
                  <c:v>23384</c:v>
                </c:pt>
                <c:pt idx="1">
                  <c:v>16752</c:v>
                </c:pt>
                <c:pt idx="2">
                  <c:v>9328</c:v>
                </c:pt>
                <c:pt idx="3">
                  <c:v>728</c:v>
                </c:pt>
              </c:numCache>
            </c:numRef>
          </c:val>
          <c:extLst>
            <c:ext xmlns:c16="http://schemas.microsoft.com/office/drawing/2014/chart" uri="{C3380CC4-5D6E-409C-BE32-E72D297353CC}">
              <c16:uniqueId val="{00000000-C9AB-43CE-BA79-140DA33CDD44}"/>
            </c:ext>
          </c:extLst>
        </c:ser>
        <c:ser>
          <c:idx val="1"/>
          <c:order val="1"/>
          <c:tx>
            <c:strRef>
              <c:f>'LEAP Scenario'!$M$65</c:f>
              <c:strCache>
                <c:ptCount val="1"/>
                <c:pt idx="0">
                  <c:v>Ethanol</c:v>
                </c:pt>
              </c:strCache>
            </c:strRef>
          </c:tx>
          <c:spPr>
            <a:solidFill>
              <a:schemeClr val="accent2"/>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Scenario'!$N$65:$Q$65</c:f>
              <c:numCache>
                <c:formatCode>General</c:formatCode>
                <c:ptCount val="4"/>
                <c:pt idx="0">
                  <c:v>3120</c:v>
                </c:pt>
                <c:pt idx="1">
                  <c:v>2080</c:v>
                </c:pt>
                <c:pt idx="2">
                  <c:v>1128</c:v>
                </c:pt>
                <c:pt idx="3">
                  <c:v>128</c:v>
                </c:pt>
              </c:numCache>
            </c:numRef>
          </c:val>
          <c:extLst>
            <c:ext xmlns:c16="http://schemas.microsoft.com/office/drawing/2014/chart" uri="{C3380CC4-5D6E-409C-BE32-E72D297353CC}">
              <c16:uniqueId val="{00000001-C9AB-43CE-BA79-140DA33CDD44}"/>
            </c:ext>
          </c:extLst>
        </c:ser>
        <c:ser>
          <c:idx val="2"/>
          <c:order val="2"/>
          <c:tx>
            <c:strRef>
              <c:f>'LEAP Scenario'!$M$66</c:f>
              <c:strCache>
                <c:ptCount val="1"/>
                <c:pt idx="0">
                  <c:v>Electricity</c:v>
                </c:pt>
              </c:strCache>
            </c:strRef>
          </c:tx>
          <c:spPr>
            <a:solidFill>
              <a:schemeClr val="accent6">
                <a:lumMod val="75000"/>
              </a:schemeClr>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Scenario'!$N$66:$Q$66</c:f>
              <c:numCache>
                <c:formatCode>General</c:formatCode>
                <c:ptCount val="4"/>
                <c:pt idx="0">
                  <c:v>24</c:v>
                </c:pt>
                <c:pt idx="1">
                  <c:v>656</c:v>
                </c:pt>
                <c:pt idx="2">
                  <c:v>1904.0000000000002</c:v>
                </c:pt>
                <c:pt idx="3">
                  <c:v>3688</c:v>
                </c:pt>
              </c:numCache>
            </c:numRef>
          </c:val>
          <c:extLst>
            <c:ext xmlns:c16="http://schemas.microsoft.com/office/drawing/2014/chart" uri="{C3380CC4-5D6E-409C-BE32-E72D297353CC}">
              <c16:uniqueId val="{00000002-C9AB-43CE-BA79-140DA33CDD44}"/>
            </c:ext>
          </c:extLst>
        </c:ser>
        <c:ser>
          <c:idx val="3"/>
          <c:order val="3"/>
          <c:tx>
            <c:strRef>
              <c:f>'LEAP Scenario'!$M$67</c:f>
              <c:strCache>
                <c:ptCount val="1"/>
                <c:pt idx="0">
                  <c:v>Diesel</c:v>
                </c:pt>
              </c:strCache>
            </c:strRef>
          </c:tx>
          <c:spPr>
            <a:solidFill>
              <a:schemeClr val="accent4"/>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Scenario'!$N$67:$Q$67</c:f>
              <c:numCache>
                <c:formatCode>General</c:formatCode>
                <c:ptCount val="4"/>
                <c:pt idx="0">
                  <c:v>784</c:v>
                </c:pt>
                <c:pt idx="1">
                  <c:v>488</c:v>
                </c:pt>
                <c:pt idx="2">
                  <c:v>264</c:v>
                </c:pt>
                <c:pt idx="3">
                  <c:v>8</c:v>
                </c:pt>
              </c:numCache>
            </c:numRef>
          </c:val>
          <c:extLst>
            <c:ext xmlns:c16="http://schemas.microsoft.com/office/drawing/2014/chart" uri="{C3380CC4-5D6E-409C-BE32-E72D297353CC}">
              <c16:uniqueId val="{00000003-C9AB-43CE-BA79-140DA33CDD44}"/>
            </c:ext>
          </c:extLst>
        </c:ser>
        <c:ser>
          <c:idx val="4"/>
          <c:order val="4"/>
          <c:tx>
            <c:strRef>
              <c:f>'LEAP Scenario'!$M$68</c:f>
              <c:strCache>
                <c:ptCount val="1"/>
                <c:pt idx="0">
                  <c:v>Biodiesel</c:v>
                </c:pt>
              </c:strCache>
            </c:strRef>
          </c:tx>
          <c:spPr>
            <a:solidFill>
              <a:schemeClr val="accent5"/>
            </a:solidFill>
            <a:ln>
              <a:no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Scenario'!$N$68:$Q$68</c:f>
              <c:numCache>
                <c:formatCode>General</c:formatCode>
                <c:ptCount val="4"/>
                <c:pt idx="0">
                  <c:v>64</c:v>
                </c:pt>
                <c:pt idx="1">
                  <c:v>304</c:v>
                </c:pt>
                <c:pt idx="2">
                  <c:v>488</c:v>
                </c:pt>
                <c:pt idx="3">
                  <c:v>696.00000000000011</c:v>
                </c:pt>
              </c:numCache>
            </c:numRef>
          </c:val>
          <c:extLst>
            <c:ext xmlns:c16="http://schemas.microsoft.com/office/drawing/2014/chart" uri="{C3380CC4-5D6E-409C-BE32-E72D297353CC}">
              <c16:uniqueId val="{00000004-C9AB-43CE-BA79-140DA33CDD44}"/>
            </c:ext>
          </c:extLst>
        </c:ser>
        <c:ser>
          <c:idx val="5"/>
          <c:order val="5"/>
          <c:tx>
            <c:strRef>
              <c:f>'LEAP Scenario'!$M$69</c:f>
              <c:strCache>
                <c:ptCount val="1"/>
                <c:pt idx="0">
                  <c:v>Avoidance</c:v>
                </c:pt>
              </c:strCache>
            </c:strRef>
          </c:tx>
          <c:spPr>
            <a:noFill/>
            <a:ln>
              <a:solidFill>
                <a:schemeClr val="tx1"/>
              </a:solidFill>
            </a:ln>
            <a:effectLst/>
          </c:spPr>
          <c:invertIfNegative val="0"/>
          <c:cat>
            <c:numRef>
              <c:f>'LEAP Scenario'!$N$63:$Q$63</c:f>
              <c:numCache>
                <c:formatCode>General</c:formatCode>
                <c:ptCount val="4"/>
                <c:pt idx="0">
                  <c:v>2015</c:v>
                </c:pt>
                <c:pt idx="1">
                  <c:v>2025</c:v>
                </c:pt>
                <c:pt idx="2">
                  <c:v>2035</c:v>
                </c:pt>
                <c:pt idx="3">
                  <c:v>2050</c:v>
                </c:pt>
              </c:numCache>
            </c:numRef>
          </c:cat>
          <c:val>
            <c:numRef>
              <c:f>'LEAP Scenario'!$N$69:$Q$69</c:f>
              <c:numCache>
                <c:formatCode>General</c:formatCode>
                <c:ptCount val="4"/>
                <c:pt idx="1">
                  <c:v>2112</c:v>
                </c:pt>
                <c:pt idx="2">
                  <c:v>6112</c:v>
                </c:pt>
                <c:pt idx="3">
                  <c:v>11056.000000000002</c:v>
                </c:pt>
              </c:numCache>
            </c:numRef>
          </c:val>
          <c:extLst>
            <c:ext xmlns:c16="http://schemas.microsoft.com/office/drawing/2014/chart" uri="{C3380CC4-5D6E-409C-BE32-E72D297353CC}">
              <c16:uniqueId val="{00000005-C9AB-43CE-BA79-140DA33CDD44}"/>
            </c:ext>
          </c:extLst>
        </c:ser>
        <c:dLbls>
          <c:showLegendKey val="0"/>
          <c:showVal val="0"/>
          <c:showCatName val="0"/>
          <c:showSerName val="0"/>
          <c:showPercent val="0"/>
          <c:showBubbleSize val="0"/>
        </c:dLbls>
        <c:gapWidth val="150"/>
        <c:overlap val="100"/>
        <c:axId val="623889856"/>
        <c:axId val="623884936"/>
      </c:barChart>
      <c:catAx>
        <c:axId val="623889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4936"/>
        <c:crosses val="autoZero"/>
        <c:auto val="1"/>
        <c:lblAlgn val="ctr"/>
        <c:lblOffset val="100"/>
        <c:noMultiLvlLbl val="0"/>
      </c:catAx>
      <c:valAx>
        <c:axId val="6238849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chemeClr val="tx1"/>
                    </a:solidFill>
                  </a:rPr>
                  <a:t>In</a:t>
                </a:r>
                <a:r>
                  <a:rPr lang="en-US" baseline="0">
                    <a:solidFill>
                      <a:schemeClr val="tx1"/>
                    </a:solidFill>
                  </a:rPr>
                  <a:t> Millions of BTUs (MMBTUs)</a:t>
                </a:r>
                <a:endParaRPr lang="en-US">
                  <a:solidFill>
                    <a:schemeClr val="tx1"/>
                  </a:solidFill>
                </a:endParaRPr>
              </a:p>
            </c:rich>
          </c:tx>
          <c:layout>
            <c:manualLayout>
              <c:xMode val="edge"/>
              <c:yMode val="edge"/>
              <c:x val="2.7902343555184794E-2"/>
              <c:y val="0.258884834138803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238898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416718</xdr:colOff>
      <xdr:row>13</xdr:row>
      <xdr:rowOff>9524</xdr:rowOff>
    </xdr:from>
    <xdr:to>
      <xdr:col>23</xdr:col>
      <xdr:colOff>440530</xdr:colOff>
      <xdr:row>47</xdr:row>
      <xdr:rowOff>71437</xdr:rowOff>
    </xdr:to>
    <xdr:graphicFrame macro="">
      <xdr:nvGraphicFramePr>
        <xdr:cNvPr id="3" name="Chart 2">
          <a:extLst>
            <a:ext uri="{FF2B5EF4-FFF2-40B4-BE49-F238E27FC236}">
              <a16:creationId xmlns:a16="http://schemas.microsoft.com/office/drawing/2014/main" id="{8A62CF41-3035-4B51-8B13-426CC88D40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29766</xdr:colOff>
      <xdr:row>47</xdr:row>
      <xdr:rowOff>571500</xdr:rowOff>
    </xdr:from>
    <xdr:to>
      <xdr:col>23</xdr:col>
      <xdr:colOff>340178</xdr:colOff>
      <xdr:row>59</xdr:row>
      <xdr:rowOff>103188</xdr:rowOff>
    </xdr:to>
    <xdr:graphicFrame macro="">
      <xdr:nvGraphicFramePr>
        <xdr:cNvPr id="4" name="Chart 3">
          <a:extLst>
            <a:ext uri="{FF2B5EF4-FFF2-40B4-BE49-F238E27FC236}">
              <a16:creationId xmlns:a16="http://schemas.microsoft.com/office/drawing/2014/main" id="{C36273F0-D26E-42A8-9411-BA3C1F1391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6803</xdr:colOff>
      <xdr:row>60</xdr:row>
      <xdr:rowOff>29936</xdr:rowOff>
    </xdr:from>
    <xdr:to>
      <xdr:col>23</xdr:col>
      <xdr:colOff>34017</xdr:colOff>
      <xdr:row>74</xdr:row>
      <xdr:rowOff>92529</xdr:rowOff>
    </xdr:to>
    <xdr:graphicFrame macro="">
      <xdr:nvGraphicFramePr>
        <xdr:cNvPr id="5" name="Chart 4">
          <a:extLst>
            <a:ext uri="{FF2B5EF4-FFF2-40B4-BE49-F238E27FC236}">
              <a16:creationId xmlns:a16="http://schemas.microsoft.com/office/drawing/2014/main" id="{4255AD51-F73E-45E7-A5B9-FF29E6A812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file:///C:\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7.3319092276302053E-2</v>
      </c>
      <c r="I4" s="4">
        <f>res_share_state_target*'LEAP Statewide'!I4</f>
        <v>0.44332474399624494</v>
      </c>
      <c r="J4" s="4">
        <f>res_share_state_target*'LEAP Statewide'!J4</f>
        <v>0.83634918050060825</v>
      </c>
      <c r="K4" s="5">
        <f>res_share_state_target*'LEAP Statewide'!K4</f>
        <v>1.539700937802343</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1.4087482429465975E-2</v>
      </c>
      <c r="U4" s="4">
        <f ca="1">com_share_state_target*'LEAP Statewide'!U4</f>
        <v>8.8080958102680462E-2</v>
      </c>
      <c r="V4" s="4">
        <f ca="1">com_share_state_target*'LEAP Statewide'!V4</f>
        <v>0.16525437519808023</v>
      </c>
      <c r="W4" s="5">
        <f ca="1">com_share_state_target*'LEAP Statewide'!W4</f>
        <v>0.29385394174473439</v>
      </c>
      <c r="Y4" s="23"/>
    </row>
    <row r="5" spans="1:25" x14ac:dyDescent="0.25">
      <c r="A5" s="1" t="s">
        <v>3</v>
      </c>
      <c r="B5" s="4">
        <f>res_share_state_target*'LEAP Statewide'!B5</f>
        <v>6.4614581437452703</v>
      </c>
      <c r="C5" s="4">
        <f>res_share_state_target*'LEAP Statewide'!C5</f>
        <v>5.9524872357341962</v>
      </c>
      <c r="D5" s="4">
        <f>res_share_state_target*'LEAP Statewide'!D5</f>
        <v>5.5390016571992371</v>
      </c>
      <c r="E5" s="5">
        <f>res_share_state_target*'LEAP Statewide'!E5</f>
        <v>5.0163899878344331</v>
      </c>
      <c r="G5" s="1" t="s">
        <v>3</v>
      </c>
      <c r="H5" s="4">
        <f>res_share_state_target*'LEAP Statewide'!H5</f>
        <v>6.4810667381912577</v>
      </c>
      <c r="I5" s="4">
        <f>res_share_state_target*'LEAP Statewide'!I5</f>
        <v>6.0837795637638541</v>
      </c>
      <c r="J5" s="4">
        <f>res_share_state_target*'LEAP Statewide'!J5</f>
        <v>5.6796720086595842</v>
      </c>
      <c r="K5" s="5">
        <f>res_share_state_target*'LEAP Statewide'!K5</f>
        <v>5.4085618767541881</v>
      </c>
      <c r="L5" s="21"/>
      <c r="M5" s="1" t="s">
        <v>14</v>
      </c>
      <c r="N5" s="4">
        <f ca="1">com_share_state_target*'LEAP Statewide'!N5</f>
        <v>1.324633663392019</v>
      </c>
      <c r="O5" s="4">
        <f ca="1">com_share_state_target*'LEAP Statewide'!O5</f>
        <v>1.0702383496171965</v>
      </c>
      <c r="P5" s="4">
        <f ca="1">com_share_state_target*'LEAP Statewide'!P5</f>
        <v>0.7772050379168971</v>
      </c>
      <c r="Q5" s="5">
        <f ca="1">com_share_state_target*'LEAP Statewide'!Q5</f>
        <v>0.31731028384816562</v>
      </c>
      <c r="R5" s="2"/>
      <c r="S5" s="1" t="s">
        <v>14</v>
      </c>
      <c r="T5" s="4">
        <f ca="1">com_share_state_target*'LEAP Statewide'!T5</f>
        <v>1.3101016730218173</v>
      </c>
      <c r="U5" s="4">
        <f ca="1">com_share_state_target*'LEAP Statewide'!U5</f>
        <v>0.97993485181083828</v>
      </c>
      <c r="V5" s="4">
        <f ca="1">com_share_state_target*'LEAP Statewide'!V5</f>
        <v>0.60771074082256982</v>
      </c>
      <c r="W5" s="5">
        <f ca="1">com_share_state_target*'LEAP Statewide'!W5</f>
        <v>1.5865514192408281E-2</v>
      </c>
      <c r="Y5" s="92"/>
    </row>
    <row r="6" spans="1:25" x14ac:dyDescent="0.25">
      <c r="A6" s="1" t="s">
        <v>4</v>
      </c>
      <c r="B6" s="4">
        <f>res_share_state_target*'LEAP Statewide'!B6</f>
        <v>0.98042972229938785</v>
      </c>
      <c r="C6" s="4">
        <f>res_share_state_target*'LEAP Statewide'!C6</f>
        <v>0.79457434885480827</v>
      </c>
      <c r="D6" s="4">
        <f>res_share_state_target*'LEAP Statewide'!D6</f>
        <v>0.54136771622618374</v>
      </c>
      <c r="E6" s="5">
        <f>res_share_state_target*'LEAP Statewide'!E6</f>
        <v>0.21398944373664899</v>
      </c>
      <c r="G6" s="1" t="s">
        <v>4</v>
      </c>
      <c r="H6" s="4">
        <f>res_share_state_target*'LEAP Statewide'!H6</f>
        <v>0.98639755539164498</v>
      </c>
      <c r="I6" s="4">
        <f>res_share_state_target*'LEAP Statewide'!I6</f>
        <v>0.80992020537775522</v>
      </c>
      <c r="J6" s="4">
        <f>res_share_state_target*'LEAP Statewide'!J6</f>
        <v>0.47145881428831432</v>
      </c>
      <c r="K6" s="5">
        <f>res_share_state_target*'LEAP Statewide'!K6</f>
        <v>0.15260601764486123</v>
      </c>
      <c r="L6" s="21"/>
      <c r="M6" s="1" t="s">
        <v>15</v>
      </c>
      <c r="N6" s="89">
        <f ca="1">com_share_state_target*'LEAP Statewide'!N6</f>
        <v>2.4338519401198737</v>
      </c>
      <c r="O6" s="89">
        <f ca="1">com_share_state_target*'LEAP Statewide'!O6</f>
        <v>2.4591546998232836</v>
      </c>
      <c r="P6" s="89">
        <f ca="1">com_share_state_target*'LEAP Statewide'!P6</f>
        <v>2.4362454444161425</v>
      </c>
      <c r="Q6" s="90">
        <f ca="1">com_share_state_target*'LEAP Statewide'!Q6</f>
        <v>2.4475291075271222</v>
      </c>
      <c r="R6" s="4"/>
      <c r="S6" s="1" t="s">
        <v>15</v>
      </c>
      <c r="T6" s="89">
        <f ca="1">com_share_state_target*'LEAP Statewide'!T6</f>
        <v>2.4338177472013558</v>
      </c>
      <c r="U6" s="89">
        <f ca="1">com_share_state_target*'LEAP Statewide'!U6</f>
        <v>2.459052121067729</v>
      </c>
      <c r="V6" s="89">
        <f ca="1">com_share_state_target*'LEAP Statewide'!V6</f>
        <v>2.43610867274207</v>
      </c>
      <c r="W6" s="90">
        <f ca="1">com_share_state_target*'LEAP Statewide'!W6</f>
        <v>2.4476658792011947</v>
      </c>
      <c r="Y6" s="92"/>
    </row>
    <row r="7" spans="1:25" x14ac:dyDescent="0.25">
      <c r="A7" s="1" t="s">
        <v>5</v>
      </c>
      <c r="B7" s="4">
        <f>res_share_state_target*'LEAP Statewide'!B7</f>
        <v>9.8895519814546945E-2</v>
      </c>
      <c r="C7" s="4">
        <f>res_share_state_target*'LEAP Statewide'!C7</f>
        <v>0.55671357274913069</v>
      </c>
      <c r="D7" s="4">
        <f>res_share_state_target*'LEAP Statewide'!D7</f>
        <v>1.049486076652649</v>
      </c>
      <c r="E7" s="5">
        <f>res_share_state_target*'LEAP Statewide'!E7</f>
        <v>1.4476257986646615</v>
      </c>
      <c r="G7" s="1" t="s">
        <v>5</v>
      </c>
      <c r="H7" s="4">
        <f>res_share_state_target*'LEAP Statewide'!H7</f>
        <v>0.17306715967545716</v>
      </c>
      <c r="I7" s="4">
        <f>res_share_state_target*'LEAP Statewide'!I7</f>
        <v>0.96934660369948178</v>
      </c>
      <c r="J7" s="4">
        <f>res_share_state_target*'LEAP Statewide'!J7</f>
        <v>1.8721944957995267</v>
      </c>
      <c r="K7" s="5">
        <f>res_share_state_target*'LEAP Statewide'!K7</f>
        <v>2.5789564434396941</v>
      </c>
      <c r="M7" s="1" t="s">
        <v>8</v>
      </c>
      <c r="N7" s="4">
        <f ca="1">com_share_state_target*'LEAP Statewide'!N7</f>
        <v>0.99056884946997392</v>
      </c>
      <c r="O7" s="4">
        <f ca="1">com_share_state_target*'LEAP Statewide'!O7</f>
        <v>1.0172393259141086</v>
      </c>
      <c r="P7" s="4">
        <f ca="1">com_share_state_target*'LEAP Statewide'!P7</f>
        <v>1.0247617679880952</v>
      </c>
      <c r="Q7" s="5">
        <f ca="1">com_share_state_target*'LEAP Statewide'!Q7</f>
        <v>1.057928898950673</v>
      </c>
      <c r="R7" s="4"/>
      <c r="S7" s="1" t="s">
        <v>8</v>
      </c>
      <c r="T7" s="4">
        <f ca="1">com_share_state_target*'LEAP Statewide'!T7</f>
        <v>0.96256484920363261</v>
      </c>
      <c r="U7" s="4">
        <f ca="1">com_share_state_target*'LEAP Statewide'!U7</f>
        <v>0.84104321679022942</v>
      </c>
      <c r="V7" s="4">
        <f ca="1">com_share_state_target*'LEAP Statewide'!V7</f>
        <v>0.69432140342897097</v>
      </c>
      <c r="W7" s="5">
        <f ca="1">com_share_state_target*'LEAP Statewide'!W7</f>
        <v>0.47015262962416782</v>
      </c>
      <c r="Y7" s="92"/>
    </row>
    <row r="8" spans="1:25" x14ac:dyDescent="0.25">
      <c r="A8" s="1" t="s">
        <v>6</v>
      </c>
      <c r="B8" s="4">
        <f>res_share_state_target*'LEAP Statewide'!B8</f>
        <v>1.1083118599906124E-2</v>
      </c>
      <c r="C8" s="4">
        <f>res_share_state_target*'LEAP Statewide'!C8</f>
        <v>8.1844568122383679E-2</v>
      </c>
      <c r="D8" s="4">
        <f>res_share_state_target*'LEAP Statewide'!D8</f>
        <v>0.27878306016686943</v>
      </c>
      <c r="E8" s="5">
        <f>res_share_state_target*'LEAP Statewide'!E8</f>
        <v>0.57887980994894295</v>
      </c>
      <c r="G8" s="1" t="s">
        <v>6</v>
      </c>
      <c r="H8" s="4">
        <f>res_share_state_target*'LEAP Statewide'!H8</f>
        <v>4.7742664738057147E-2</v>
      </c>
      <c r="I8" s="4">
        <f>res_share_state_target*'LEAP Statewide'!I8</f>
        <v>0.29668655944364086</v>
      </c>
      <c r="J8" s="4">
        <f>res_share_state_target*'LEAP Statewide'!J8</f>
        <v>0.64537852154837971</v>
      </c>
      <c r="K8" s="5">
        <f>res_share_state_target*'LEAP Statewide'!K8</f>
        <v>1.0707997662678532</v>
      </c>
      <c r="M8" s="1" t="s">
        <v>9</v>
      </c>
      <c r="N8" s="4">
        <f ca="1">com_share_state_target*'LEAP Statewide'!N8</f>
        <v>0.95432435584076536</v>
      </c>
      <c r="O8" s="4">
        <f ca="1">com_share_state_target*'LEAP Statewide'!O8</f>
        <v>1.1591399377643119</v>
      </c>
      <c r="P8" s="4">
        <f ca="1">com_share_state_target*'LEAP Statewide'!P8</f>
        <v>1.3543815025027846</v>
      </c>
      <c r="Q8" s="5">
        <f ca="1">com_share_state_target*'LEAP Statewide'!Q8</f>
        <v>1.6983622627950847</v>
      </c>
      <c r="R8" s="4"/>
      <c r="S8" s="1" t="s">
        <v>9</v>
      </c>
      <c r="T8" s="4">
        <f ca="1">com_share_state_target*'LEAP Statewide'!T8</f>
        <v>0.88487853833046104</v>
      </c>
      <c r="U8" s="4">
        <f ca="1">com_share_state_target*'LEAP Statewide'!U8</f>
        <v>0.7249924513397259</v>
      </c>
      <c r="V8" s="4">
        <f ca="1">com_share_state_target*'LEAP Statewide'!V8</f>
        <v>0.53966683297150841</v>
      </c>
      <c r="W8" s="5">
        <f ca="1">com_share_state_target*'LEAP Statewide'!W8</f>
        <v>0.24974507685635794</v>
      </c>
      <c r="Y8" s="23"/>
    </row>
    <row r="9" spans="1:25" x14ac:dyDescent="0.25">
      <c r="A9" s="1" t="s">
        <v>7</v>
      </c>
      <c r="B9" s="4">
        <f>res_share_state_target*'LEAP Statewide'!B9</f>
        <v>0.82952879982374295</v>
      </c>
      <c r="C9" s="4">
        <f>res_share_state_target*'LEAP Statewide'!C9</f>
        <v>0.66583966357897562</v>
      </c>
      <c r="D9" s="4">
        <f>res_share_state_target*'LEAP Statewide'!D9</f>
        <v>0.50811836042646541</v>
      </c>
      <c r="E9" s="5">
        <f>res_share_state_target*'LEAP Statewide'!E9</f>
        <v>0.25150153745940818</v>
      </c>
      <c r="G9" s="1" t="s">
        <v>7</v>
      </c>
      <c r="H9" s="4">
        <f>res_share_state_target*'LEAP Statewide'!H9</f>
        <v>0.81418294330079599</v>
      </c>
      <c r="I9" s="4">
        <f>res_share_state_target*'LEAP Statewide'!I9</f>
        <v>0.58655273821041642</v>
      </c>
      <c r="J9" s="4">
        <f>res_share_state_target*'LEAP Statewide'!J9</f>
        <v>0.36403781862768575</v>
      </c>
      <c r="K9" s="5">
        <f>res_share_state_target*'LEAP Statewide'!K9</f>
        <v>0</v>
      </c>
      <c r="L9" s="21"/>
      <c r="M9" s="1" t="s">
        <v>16</v>
      </c>
      <c r="N9" s="4">
        <f ca="1">com_share_state_target*'LEAP Statewide'!N9</f>
        <v>0.13437816977621669</v>
      </c>
      <c r="O9" s="4">
        <f ca="1">com_share_state_target*'LEAP Statewide'!O9</f>
        <v>0.1001852512580954</v>
      </c>
      <c r="P9" s="4">
        <f ca="1">com_share_state_target*'LEAP Statewide'!P9</f>
        <v>6.1547253332618332E-2</v>
      </c>
      <c r="Q9" s="5">
        <f ca="1">com_share_state_target*'LEAP Statewide'!Q9</f>
        <v>0</v>
      </c>
      <c r="R9" s="2"/>
      <c r="S9" s="1" t="s">
        <v>16</v>
      </c>
      <c r="T9" s="4">
        <f ca="1">com_share_state_target*'LEAP Statewide'!T9</f>
        <v>0.13427559102066233</v>
      </c>
      <c r="U9" s="4">
        <f ca="1">com_share_state_target*'LEAP Statewide'!U9</f>
        <v>0.10001428666550478</v>
      </c>
      <c r="V9" s="4">
        <f ca="1">com_share_state_target*'LEAP Statewide'!V9</f>
        <v>6.1410481658545846E-2</v>
      </c>
      <c r="W9" s="5">
        <f ca="1">com_share_state_target*'LEAP Statewide'!W9</f>
        <v>0</v>
      </c>
      <c r="Y9" s="23"/>
    </row>
    <row r="10" spans="1:25" x14ac:dyDescent="0.25">
      <c r="A10" s="1" t="s">
        <v>8</v>
      </c>
      <c r="B10" s="4">
        <f>res_share_state_target*'LEAP Statewide'!B10</f>
        <v>4.7853495924056206</v>
      </c>
      <c r="C10" s="4">
        <f>res_share_state_target*'LEAP Statewide'!C10</f>
        <v>3.8339064879829108</v>
      </c>
      <c r="D10" s="4">
        <f>res_share_state_target*'LEAP Statewide'!D10</f>
        <v>2.8321630760683187</v>
      </c>
      <c r="E10" s="5">
        <f>res_share_state_target*'LEAP Statewide'!E10</f>
        <v>1.0222045539451878</v>
      </c>
      <c r="G10" s="1" t="s">
        <v>8</v>
      </c>
      <c r="H10" s="4">
        <f>res_share_state_target*'LEAP Statewide'!H10</f>
        <v>4.7290814518214823</v>
      </c>
      <c r="I10" s="4">
        <f>res_share_state_target*'LEAP Statewide'!I10</f>
        <v>3.6130966635693964</v>
      </c>
      <c r="J10" s="4">
        <f>res_share_state_target*'LEAP Statewide'!J10</f>
        <v>2.5286561359478124</v>
      </c>
      <c r="K10" s="5">
        <f>res_share_state_target*'LEAP Statewide'!K10</f>
        <v>0.85340013219277155</v>
      </c>
      <c r="L10" s="21"/>
      <c r="M10" s="1" t="s">
        <v>17</v>
      </c>
      <c r="N10" s="4">
        <f ca="1">com_share_state_target*'LEAP Statewide'!N10</f>
        <v>0.42775341066169742</v>
      </c>
      <c r="O10" s="4">
        <f ca="1">com_share_state_target*'LEAP Statewide'!O10</f>
        <v>0.45510774547619443</v>
      </c>
      <c r="P10" s="4">
        <f ca="1">com_share_state_target*'LEAP Statewide'!P10</f>
        <v>0.47528156740188604</v>
      </c>
      <c r="Q10" s="5">
        <f ca="1">com_share_state_target*'LEAP Statewide'!Q10</f>
        <v>0.51699692799399399</v>
      </c>
      <c r="R10" s="4"/>
      <c r="S10" s="1" t="s">
        <v>17</v>
      </c>
      <c r="T10" s="4">
        <f ca="1">com_share_state_target*'LEAP Statewide'!T10</f>
        <v>0.45921089569836898</v>
      </c>
      <c r="U10" s="4">
        <f ca="1">com_share_state_target*'LEAP Statewide'!U10</f>
        <v>0.65240088532575435</v>
      </c>
      <c r="V10" s="4">
        <f ca="1">com_share_state_target*'LEAP Statewide'!V10</f>
        <v>0.84531733160499467</v>
      </c>
      <c r="W10" s="5">
        <f ca="1">com_share_state_target*'LEAP Statewide'!W10</f>
        <v>1.1753473811419015</v>
      </c>
      <c r="Y10" s="23"/>
    </row>
    <row r="11" spans="1:25" x14ac:dyDescent="0.25">
      <c r="A11" s="1" t="s">
        <v>9</v>
      </c>
      <c r="B11" s="4">
        <f>res_share_state_target*'LEAP Statewide'!B11</f>
        <v>4.1314455950111597</v>
      </c>
      <c r="C11" s="4">
        <f>res_share_state_target*'LEAP Statewide'!C11</f>
        <v>5.3625243071853479</v>
      </c>
      <c r="D11" s="4">
        <f>res_share_state_target*'LEAP Statewide'!D11</f>
        <v>6.891994673972393</v>
      </c>
      <c r="E11" s="5">
        <f>res_share_state_target*'LEAP Statewide'!E11</f>
        <v>10.094163401760655</v>
      </c>
      <c r="G11" s="1" t="s">
        <v>9</v>
      </c>
      <c r="H11" s="4">
        <f>res_share_state_target*'LEAP Statewide'!H11</f>
        <v>3.7622924908758248</v>
      </c>
      <c r="I11" s="4">
        <f>res_share_state_target*'LEAP Statewide'!I11</f>
        <v>2.9924420219746533</v>
      </c>
      <c r="J11" s="4">
        <f>res_share_state_target*'LEAP Statewide'!J11</f>
        <v>1.6684356230781756</v>
      </c>
      <c r="K11" s="5">
        <f>res_share_state_target*'LEAP Statewide'!K11</f>
        <v>0.20716906305978369</v>
      </c>
      <c r="L11" s="21"/>
      <c r="M11" s="7" t="s">
        <v>12</v>
      </c>
      <c r="N11" s="8">
        <f ca="1">SUM(N4:N10)</f>
        <v>6.2655103892605464</v>
      </c>
      <c r="O11" s="8">
        <f ca="1">SUM(O4:O10)</f>
        <v>6.2610653098531905</v>
      </c>
      <c r="P11" s="8">
        <f ca="1">SUM(P4:P10)</f>
        <v>6.1294225735584238</v>
      </c>
      <c r="Q11" s="9">
        <f ca="1">SUM(Q4:Q10)</f>
        <v>6.0381274811150396</v>
      </c>
      <c r="R11" s="4"/>
      <c r="S11" s="7" t="s">
        <v>12</v>
      </c>
      <c r="T11" s="8">
        <f ca="1">SUM(T4:T10)</f>
        <v>6.1989367769057635</v>
      </c>
      <c r="U11" s="8">
        <f ca="1">SUM(U4:U10)</f>
        <v>5.8455187711024621</v>
      </c>
      <c r="V11" s="8">
        <f ca="1">SUM(V4:V10)</f>
        <v>5.3497898384267399</v>
      </c>
      <c r="W11" s="9">
        <f ca="1">SUM(W4:W10)</f>
        <v>4.6526304227607653</v>
      </c>
    </row>
    <row r="12" spans="1:25" x14ac:dyDescent="0.25">
      <c r="A12" s="1" t="s">
        <v>10</v>
      </c>
      <c r="B12" s="4">
        <f>res_share_state_target*'LEAP Statewide'!B12</f>
        <v>8.8485913806481271</v>
      </c>
      <c r="C12" s="4">
        <f>res_share_state_target*'LEAP Statewide'!C12</f>
        <v>6.951673004894964</v>
      </c>
      <c r="D12" s="4">
        <f>res_share_state_target*'LEAP Statewide'!D12</f>
        <v>4.5824432672688777</v>
      </c>
      <c r="E12" s="5">
        <f>res_share_state_target*'LEAP Statewide'!E12</f>
        <v>1.2268159742511471</v>
      </c>
      <c r="G12" s="1" t="s">
        <v>10</v>
      </c>
      <c r="H12" s="4">
        <f>res_share_state_target*'LEAP Statewide'!H12</f>
        <v>8.6755242209726706</v>
      </c>
      <c r="I12" s="4">
        <f>res_share_state_target*'LEAP Statewide'!I12</f>
        <v>6.216776986962727</v>
      </c>
      <c r="J12" s="4">
        <f>res_share_state_target*'LEAP Statewide'!J12</f>
        <v>3.831348845229086</v>
      </c>
      <c r="K12" s="5">
        <f>res_share_state_target*'LEAP Statewide'!K12</f>
        <v>0</v>
      </c>
      <c r="L12" s="21"/>
    </row>
    <row r="13" spans="1:25" x14ac:dyDescent="0.25">
      <c r="A13" s="1" t="s">
        <v>11</v>
      </c>
      <c r="B13" s="4">
        <f>res_share_state_target*'LEAP Statewide'!B13</f>
        <v>0.54904064448765721</v>
      </c>
      <c r="C13" s="4">
        <f>res_share_state_target*'LEAP Statewide'!C13</f>
        <v>0.72722308967076332</v>
      </c>
      <c r="D13" s="4">
        <f>res_share_state_target*'LEAP Statewide'!D13</f>
        <v>0.89773260659239607</v>
      </c>
      <c r="E13" s="5">
        <f>res_share_state_target*'LEAP Statewide'!E13</f>
        <v>1.1611698102363186</v>
      </c>
      <c r="G13" s="1" t="s">
        <v>11</v>
      </c>
      <c r="H13" s="4">
        <f>res_share_state_target*'LEAP Statewide'!H13</f>
        <v>0.631737760194649</v>
      </c>
      <c r="I13" s="4">
        <f>res_share_state_target*'LEAP Statewide'!I13</f>
        <v>1.1560545247286695</v>
      </c>
      <c r="J13" s="4">
        <f>res_share_state_target*'LEAP Statewide'!J13</f>
        <v>1.5576044370791144</v>
      </c>
      <c r="K13" s="5">
        <f>res_share_state_target*'LEAP Statewide'!K13</f>
        <v>1.9386932073989636</v>
      </c>
      <c r="L13" s="21"/>
      <c r="N13" s="21"/>
      <c r="O13" s="21"/>
      <c r="P13" s="21"/>
      <c r="Q13" s="21"/>
      <c r="T13" s="21"/>
      <c r="U13" s="21"/>
      <c r="V13" s="21"/>
      <c r="W13" s="21"/>
    </row>
    <row r="14" spans="1:25" x14ac:dyDescent="0.25">
      <c r="A14" s="7" t="s">
        <v>12</v>
      </c>
      <c r="B14" s="8">
        <f>SUM(B4:B13)</f>
        <v>26.69582251683542</v>
      </c>
      <c r="C14" s="8">
        <f>SUM(C4:C13)</f>
        <v>24.926786278773481</v>
      </c>
      <c r="D14" s="8">
        <f>SUM(D4:D13)</f>
        <v>23.121090494573391</v>
      </c>
      <c r="E14" s="9">
        <f>SUM(E4:E13)</f>
        <v>21.012740317837402</v>
      </c>
      <c r="G14" s="7" t="s">
        <v>12</v>
      </c>
      <c r="H14" s="8">
        <f>SUM(H4:H13)</f>
        <v>26.374412077438141</v>
      </c>
      <c r="I14" s="8">
        <f>SUM(I4:I13)</f>
        <v>23.16798061172684</v>
      </c>
      <c r="J14" s="8">
        <f>SUM(J4:J13)</f>
        <v>19.455135880758288</v>
      </c>
      <c r="K14" s="9">
        <f>SUM(K4:K13)</f>
        <v>13.749887444560457</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23.871332369028572</v>
      </c>
      <c r="C24" s="4">
        <f>res_share_state_target*'LEAP Statewide'!C24*1000</f>
        <v>19.608594445987759</v>
      </c>
      <c r="D24" s="4">
        <f>res_share_state_target*'LEAP Statewide'!D24*1000</f>
        <v>17.050951692163267</v>
      </c>
      <c r="E24" s="5">
        <f>res_share_state_target*'LEAP Statewide'!E24*1000</f>
        <v>14.493308938338776</v>
      </c>
      <c r="G24" s="1" t="s">
        <v>21</v>
      </c>
      <c r="H24" s="4">
        <f>res_share_state_target*'LEAP Statewide'!H24*1000</f>
        <v>23.871332369028572</v>
      </c>
      <c r="I24" s="4">
        <f>res_share_state_target*'LEAP Statewide'!I24*1000</f>
        <v>19.608594445987759</v>
      </c>
      <c r="J24" s="4">
        <f>res_share_state_target*'LEAP Statewide'!J24*1000</f>
        <v>9.3780234306897974</v>
      </c>
      <c r="K24" s="5">
        <f>res_share_state_target*'LEAP Statewide'!K24*1000</f>
        <v>0.85254758460816338</v>
      </c>
    </row>
    <row r="25" spans="1:16" x14ac:dyDescent="0.25">
      <c r="A25" s="1" t="s">
        <v>22</v>
      </c>
      <c r="B25" s="4">
        <f>res_share_state_target*'LEAP Statewide'!B25*1000</f>
        <v>3.4101903384326535</v>
      </c>
      <c r="C25" s="4">
        <f>res_share_state_target*'LEAP Statewide'!C25*1000</f>
        <v>2.5576427538244899</v>
      </c>
      <c r="D25" s="4">
        <f>res_share_state_target*'LEAP Statewide'!D25*1000</f>
        <v>2.5576427538244899</v>
      </c>
      <c r="E25" s="5">
        <f>res_share_state_target*'LEAP Statewide'!E25*1000</f>
        <v>1.7050951692163268</v>
      </c>
      <c r="G25" s="1" t="s">
        <v>22</v>
      </c>
      <c r="H25" s="4">
        <f>res_share_state_target*'LEAP Statewide'!H25*1000</f>
        <v>3.4101903384326535</v>
      </c>
      <c r="I25" s="4">
        <f>res_share_state_target*'LEAP Statewide'!I25*1000</f>
        <v>2.5576427538244899</v>
      </c>
      <c r="J25" s="4">
        <f>res_share_state_target*'LEAP Statewide'!J25*1000</f>
        <v>0.85254758460816338</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1.7050951692163268</v>
      </c>
      <c r="K26" s="5">
        <f>res_share_state_target*'LEAP Statewide'!K26*1000</f>
        <v>4.2627379230408167</v>
      </c>
    </row>
    <row r="27" spans="1:16" x14ac:dyDescent="0.25">
      <c r="A27" s="1" t="s">
        <v>20</v>
      </c>
      <c r="B27" s="4">
        <f>res_share_state_target*'LEAP Statewide'!B27*1000</f>
        <v>0.85254758460816338</v>
      </c>
      <c r="C27" s="4">
        <f>res_share_state_target*'LEAP Statewide'!C27*1000</f>
        <v>0.85254758460816338</v>
      </c>
      <c r="D27" s="4">
        <f>res_share_state_target*'LEAP Statewide'!D27*1000</f>
        <v>0.85254758460816338</v>
      </c>
      <c r="E27" s="5">
        <f>res_share_state_target*'LEAP Statewide'!E27*1000</f>
        <v>0.85254758460816338</v>
      </c>
      <c r="G27" s="1" t="s">
        <v>20</v>
      </c>
      <c r="H27" s="4">
        <f>res_share_state_target*'LEAP Statewide'!H27*1000</f>
        <v>0.85254758460816338</v>
      </c>
      <c r="I27" s="4">
        <f>res_share_state_target*'LEAP Statewide'!I27*1000</f>
        <v>0.85254758460816338</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0.85254758460816338</v>
      </c>
      <c r="K28" s="5">
        <f>res_share_state_target*'LEAP Statewide'!K28*1000</f>
        <v>0.85254758460816338</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28.134070292069389</v>
      </c>
      <c r="C30" s="8">
        <f>SUM(C24:C29)</f>
        <v>23.018784784420411</v>
      </c>
      <c r="D30" s="8">
        <f>SUM(D24:D29)</f>
        <v>20.461142030595919</v>
      </c>
      <c r="E30" s="9">
        <f>SUM(E24:E29)</f>
        <v>17.050951692163267</v>
      </c>
      <c r="G30" s="7" t="s">
        <v>12</v>
      </c>
      <c r="H30" s="8">
        <f>SUM(H24:H29)</f>
        <v>28.134070292069389</v>
      </c>
      <c r="I30" s="8">
        <f>SUM(I24:I29)</f>
        <v>23.018784784420411</v>
      </c>
      <c r="J30" s="8">
        <f>SUM(J24:J29)</f>
        <v>12.788213769122452</v>
      </c>
      <c r="K30" s="9">
        <f>SUM(K24:K29)</f>
        <v>5.967833092257143</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8.7812401214640831E-2</v>
      </c>
      <c r="C49" s="20">
        <f>res_share_state_target*'LEAP Statewide'!C49</f>
        <v>0.42030595921182451</v>
      </c>
      <c r="D49" s="20">
        <f>res_share_state_target*'LEAP Statewide'!D49</f>
        <v>0.72892818483997968</v>
      </c>
      <c r="E49" s="20">
        <f>res_share_state_target*'LEAP Statewide'!E49</f>
        <v>1.2020920942975104</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0.11590697674418607</v>
      </c>
      <c r="I4" s="4">
        <f>res_share_region_target*'LEAP Scenario'!I4</f>
        <v>0.41395348837209311</v>
      </c>
      <c r="J4" s="4">
        <f>res_share_region_target*'LEAP Scenario'!J4</f>
        <v>0.67888372093023264</v>
      </c>
      <c r="K4" s="5">
        <f>res_share_region_target*'LEAP Scenario'!K4</f>
        <v>1.0514418604651163</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3.838245373543523E-2</v>
      </c>
      <c r="U4" s="4">
        <f>com_share_region_target*'LEAP Scenario'!U4</f>
        <v>0.23509252912954079</v>
      </c>
      <c r="V4" s="4">
        <f>com_share_region_target*'LEAP Scenario'!V4</f>
        <v>0.44139821795750517</v>
      </c>
      <c r="W4" s="5">
        <f>com_share_region_target*'LEAP Scenario'!W4</f>
        <v>0.78684030157642226</v>
      </c>
      <c r="Y4" s="23"/>
    </row>
    <row r="5" spans="1:25" x14ac:dyDescent="0.25">
      <c r="A5" s="1" t="s">
        <v>3</v>
      </c>
      <c r="B5" s="4">
        <f>res_share_region_target*'LEAP Scenario'!B5</f>
        <v>15.647441860465118</v>
      </c>
      <c r="C5" s="4">
        <f>res_share_region_target*'LEAP Scenario'!C5</f>
        <v>12.98158139534884</v>
      </c>
      <c r="D5" s="4">
        <f>res_share_region_target*'LEAP Scenario'!D5</f>
        <v>10.771069767441862</v>
      </c>
      <c r="E5" s="5">
        <f>res_share_region_target*'LEAP Scenario'!E5</f>
        <v>8.2045581395348854</v>
      </c>
      <c r="G5" s="1" t="s">
        <v>3</v>
      </c>
      <c r="H5" s="4">
        <f>res_share_region_target*'LEAP Scenario'!H5</f>
        <v>15.39079069767442</v>
      </c>
      <c r="I5" s="4">
        <f>res_share_region_target*'LEAP Scenario'!I5</f>
        <v>12.170232558139537</v>
      </c>
      <c r="J5" s="4">
        <f>res_share_region_target*'LEAP Scenario'!J5</f>
        <v>9.3387906976744208</v>
      </c>
      <c r="K5" s="5">
        <f>res_share_region_target*'LEAP Scenario'!K5</f>
        <v>6.2093023255813966</v>
      </c>
      <c r="L5" s="21"/>
      <c r="M5" s="1" t="s">
        <v>14</v>
      </c>
      <c r="N5" s="4">
        <f>com_share_region_target*'LEAP Scenario'!N5</f>
        <v>1.9814941740918437</v>
      </c>
      <c r="O5" s="4">
        <f>com_share_region_target*'LEAP Scenario'!O5</f>
        <v>1.6264564770390679</v>
      </c>
      <c r="P5" s="4">
        <f>com_share_region_target*'LEAP Scenario'!P5</f>
        <v>1.2138450993831391</v>
      </c>
      <c r="Q5" s="5">
        <f>com_share_region_target*'LEAP Scenario'!Q5</f>
        <v>0.5661411925976696</v>
      </c>
      <c r="R5" s="2"/>
      <c r="S5" s="1" t="s">
        <v>14</v>
      </c>
      <c r="T5" s="4">
        <f>com_share_region_target*'LEAP Scenario'!T5</f>
        <v>1.9575051405071968</v>
      </c>
      <c r="U5" s="4">
        <f>com_share_region_target*'LEAP Scenario'!U5</f>
        <v>1.4585332419465387</v>
      </c>
      <c r="V5" s="4">
        <f>com_share_region_target*'LEAP Scenario'!V5</f>
        <v>0.89718985606579849</v>
      </c>
      <c r="W5" s="5">
        <f>com_share_region_target*'LEAP Scenario'!W5</f>
        <v>4.7978067169294038E-3</v>
      </c>
      <c r="Y5" s="92"/>
    </row>
    <row r="6" spans="1:25" x14ac:dyDescent="0.25">
      <c r="A6" s="1" t="s">
        <v>4</v>
      </c>
      <c r="B6" s="4">
        <f>res_share_region_target*'LEAP Scenario'!B6</f>
        <v>1.5813023255813956</v>
      </c>
      <c r="C6" s="4">
        <f>res_share_region_target*'LEAP Scenario'!C6</f>
        <v>1.1756279069767444</v>
      </c>
      <c r="D6" s="4">
        <f>res_share_region_target*'LEAP Scenario'!D6</f>
        <v>0.67888372093023264</v>
      </c>
      <c r="E6" s="5">
        <f>res_share_region_target*'LEAP Scenario'!E6</f>
        <v>0.1986976744186047</v>
      </c>
      <c r="G6" s="1" t="s">
        <v>4</v>
      </c>
      <c r="H6" s="4">
        <f>res_share_region_target*'LEAP Scenario'!H6</f>
        <v>1.7137674418604654</v>
      </c>
      <c r="I6" s="4">
        <f>res_share_region_target*'LEAP Scenario'!I6</f>
        <v>1.5481860465116282</v>
      </c>
      <c r="J6" s="4">
        <f>res_share_region_target*'LEAP Scenario'!J6</f>
        <v>0.84446511627906995</v>
      </c>
      <c r="K6" s="5">
        <f>res_share_region_target*'LEAP Scenario'!K6</f>
        <v>0.25665116279069772</v>
      </c>
      <c r="L6" s="21"/>
      <c r="M6" s="1" t="s">
        <v>15</v>
      </c>
      <c r="N6" s="89">
        <f>com_share_region_target*'LEAP Scenario'!N6</f>
        <v>3.6175462645647705</v>
      </c>
      <c r="O6" s="89">
        <f>com_share_region_target*'LEAP Scenario'!O6</f>
        <v>3.8478409869773817</v>
      </c>
      <c r="P6" s="89">
        <f>com_share_region_target*'LEAP Scenario'!P6</f>
        <v>4.0157642220699108</v>
      </c>
      <c r="Q6" s="90">
        <f>com_share_region_target*'LEAP Scenario'!Q6</f>
        <v>4.3708019191226866</v>
      </c>
      <c r="R6" s="4"/>
      <c r="S6" s="1" t="s">
        <v>15</v>
      </c>
      <c r="T6" s="89">
        <f>com_share_region_target*'LEAP Scenario'!T6</f>
        <v>3.5695681973954763</v>
      </c>
      <c r="U6" s="89">
        <f>com_share_region_target*'LEAP Scenario'!U6</f>
        <v>3.5359835503769705</v>
      </c>
      <c r="V6" s="89">
        <f>com_share_region_target*'LEAP Scenario'!V6</f>
        <v>3.4256339958875945</v>
      </c>
      <c r="W6" s="90">
        <f>com_share_region_target*'LEAP Scenario'!W6</f>
        <v>3.3200822481151473</v>
      </c>
      <c r="Y6" s="92"/>
    </row>
    <row r="7" spans="1:25" x14ac:dyDescent="0.25">
      <c r="A7" s="1" t="s">
        <v>5</v>
      </c>
      <c r="B7" s="4">
        <f>res_share_region_target*'LEAP Scenario'!B7</f>
        <v>0.21525581395348842</v>
      </c>
      <c r="C7" s="4">
        <f>res_share_region_target*'LEAP Scenario'!C7</f>
        <v>1.0183255813953489</v>
      </c>
      <c r="D7" s="4">
        <f>res_share_region_target*'LEAP Scenario'!D7</f>
        <v>1.5813023255813956</v>
      </c>
      <c r="E7" s="5">
        <f>res_share_region_target*'LEAP Scenario'!E7</f>
        <v>1.9869767441860469</v>
      </c>
      <c r="G7" s="1" t="s">
        <v>5</v>
      </c>
      <c r="H7" s="4">
        <f>res_share_region_target*'LEAP Scenario'!H7</f>
        <v>0.19041860465116281</v>
      </c>
      <c r="I7" s="4">
        <f>res_share_region_target*'LEAP Scenario'!I7</f>
        <v>0.91069767441860483</v>
      </c>
      <c r="J7" s="4">
        <f>res_share_region_target*'LEAP Scenario'!J7</f>
        <v>1.8627906976744188</v>
      </c>
      <c r="K7" s="5">
        <f>res_share_region_target*'LEAP Scenario'!K7</f>
        <v>2.2353488372093029</v>
      </c>
      <c r="M7" s="1" t="s">
        <v>8</v>
      </c>
      <c r="N7" s="4">
        <f>com_share_region_target*'LEAP Scenario'!N7</f>
        <v>1.4921178889650446</v>
      </c>
      <c r="O7" s="4">
        <f>com_share_region_target*'LEAP Scenario'!O7</f>
        <v>1.6120630568882797</v>
      </c>
      <c r="P7" s="4">
        <f>com_share_region_target*'LEAP Scenario'!P7</f>
        <v>1.7032213845099384</v>
      </c>
      <c r="Q7" s="5">
        <f>com_share_region_target*'LEAP Scenario'!Q7</f>
        <v>1.8903358464701852</v>
      </c>
      <c r="R7" s="4"/>
      <c r="S7" s="1" t="s">
        <v>8</v>
      </c>
      <c r="T7" s="4">
        <f>com_share_region_target*'LEAP Scenario'!T7</f>
        <v>1.4345442083618918</v>
      </c>
      <c r="U7" s="4">
        <f>com_share_region_target*'LEAP Scenario'!U7</f>
        <v>1.2378341329677862</v>
      </c>
      <c r="V7" s="4">
        <f>com_share_region_target*'LEAP Scenario'!V7</f>
        <v>1.0027416038382453</v>
      </c>
      <c r="W7" s="5">
        <f>com_share_region_target*'LEAP Scenario'!W7</f>
        <v>0.63810829335161068</v>
      </c>
      <c r="Y7" s="92"/>
    </row>
    <row r="8" spans="1:25" x14ac:dyDescent="0.25">
      <c r="A8" s="1" t="s">
        <v>6</v>
      </c>
      <c r="B8" s="4">
        <f>res_share_region_target*'LEAP Scenario'!B8</f>
        <v>2.4837209302325587E-2</v>
      </c>
      <c r="C8" s="4">
        <f>res_share_region_target*'LEAP Scenario'!C8</f>
        <v>0.10762790697674421</v>
      </c>
      <c r="D8" s="4">
        <f>res_share_region_target*'LEAP Scenario'!D8</f>
        <v>0.38911627906976748</v>
      </c>
      <c r="E8" s="5">
        <f>res_share_region_target*'LEAP Scenario'!E8</f>
        <v>0.93553488372093041</v>
      </c>
      <c r="G8" s="1" t="s">
        <v>6</v>
      </c>
      <c r="H8" s="4">
        <f>res_share_region_target*'LEAP Scenario'!H8</f>
        <v>0.13246511627906979</v>
      </c>
      <c r="I8" s="4">
        <f>res_share_region_target*'LEAP Scenario'!I8</f>
        <v>0.38083720930232562</v>
      </c>
      <c r="J8" s="4">
        <f>res_share_region_target*'LEAP Scenario'!J8</f>
        <v>0.74511627906976752</v>
      </c>
      <c r="K8" s="5">
        <f>res_share_region_target*'LEAP Scenario'!K8</f>
        <v>1.0431627906976746</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1.0680000000000003</v>
      </c>
      <c r="C9" s="4">
        <f>res_share_region_target*'LEAP Scenario'!C9</f>
        <v>1.3577674418604653</v>
      </c>
      <c r="D9" s="4">
        <f>res_share_region_target*'LEAP Scenario'!D9</f>
        <v>1.6640930232558142</v>
      </c>
      <c r="E9" s="5">
        <f>res_share_region_target*'LEAP Scenario'!E9</f>
        <v>0.42223255813953497</v>
      </c>
      <c r="G9" s="1" t="s">
        <v>7</v>
      </c>
      <c r="H9" s="4">
        <f>res_share_region_target*'LEAP Scenario'!H9</f>
        <v>0.99348837209302343</v>
      </c>
      <c r="I9" s="4">
        <f>res_share_region_target*'LEAP Scenario'!I9</f>
        <v>1.1507906976744189</v>
      </c>
      <c r="J9" s="4">
        <f>res_share_region_target*'LEAP Scenario'!J9</f>
        <v>1.3329302325581398</v>
      </c>
      <c r="K9" s="5">
        <f>res_share_region_target*'LEAP Scenario'!K9</f>
        <v>0</v>
      </c>
      <c r="L9" s="21"/>
      <c r="M9" s="1" t="s">
        <v>16</v>
      </c>
      <c r="N9" s="4">
        <f>com_share_region_target*'LEAP Scenario'!N9</f>
        <v>0.20150788211103496</v>
      </c>
      <c r="O9" s="4">
        <f>com_share_region_target*'LEAP Scenario'!O9</f>
        <v>0.14873200822481153</v>
      </c>
      <c r="P9" s="4">
        <f>com_share_region_target*'LEAP Scenario'!P9</f>
        <v>9.1158327621658666E-2</v>
      </c>
      <c r="Q9" s="5">
        <f>com_share_region_target*'LEAP Scenario'!Q9</f>
        <v>0</v>
      </c>
      <c r="R9" s="2"/>
      <c r="S9" s="1" t="s">
        <v>16</v>
      </c>
      <c r="T9" s="4">
        <f>com_share_region_target*'LEAP Scenario'!T9</f>
        <v>0.20150788211103496</v>
      </c>
      <c r="U9" s="4">
        <f>com_share_region_target*'LEAP Scenario'!U9</f>
        <v>0.14873200822481153</v>
      </c>
      <c r="V9" s="4">
        <f>com_share_region_target*'LEAP Scenario'!V9</f>
        <v>9.1158327621658666E-2</v>
      </c>
      <c r="W9" s="5">
        <f>com_share_region_target*'LEAP Scenario'!W9</f>
        <v>0</v>
      </c>
      <c r="Y9" s="23"/>
    </row>
    <row r="10" spans="1:25" x14ac:dyDescent="0.25">
      <c r="A10" s="1" t="s">
        <v>8</v>
      </c>
      <c r="B10" s="4">
        <f>res_share_region_target*'LEAP Scenario'!B10</f>
        <v>5.9857674418604665</v>
      </c>
      <c r="C10" s="4">
        <f>res_share_region_target*'LEAP Scenario'!C10</f>
        <v>4.8846511627906981</v>
      </c>
      <c r="D10" s="4">
        <f>res_share_region_target*'LEAP Scenario'!D10</f>
        <v>3.9077209302325588</v>
      </c>
      <c r="E10" s="5">
        <f>res_share_region_target*'LEAP Scenario'!E10</f>
        <v>2.6161860465116282</v>
      </c>
      <c r="G10" s="1" t="s">
        <v>8</v>
      </c>
      <c r="H10" s="4">
        <f>res_share_region_target*'LEAP Scenario'!H10</f>
        <v>5.8533023255813967</v>
      </c>
      <c r="I10" s="4">
        <f>res_share_region_target*'LEAP Scenario'!I10</f>
        <v>4.5783255813953492</v>
      </c>
      <c r="J10" s="4">
        <f>res_share_region_target*'LEAP Scenario'!J10</f>
        <v>2.9307906976744191</v>
      </c>
      <c r="K10" s="5">
        <f>res_share_region_target*'LEAP Scenario'!K10</f>
        <v>1.0266046511627909</v>
      </c>
      <c r="L10" s="21"/>
      <c r="M10" s="1" t="s">
        <v>17</v>
      </c>
      <c r="N10" s="4">
        <f>com_share_region_target*'LEAP Scenario'!N10</f>
        <v>0.64770390678546952</v>
      </c>
      <c r="O10" s="4">
        <f>com_share_region_target*'LEAP Scenario'!O10</f>
        <v>0.72446881425634002</v>
      </c>
      <c r="P10" s="4">
        <f>com_share_region_target*'LEAP Scenario'!P10</f>
        <v>0.79643591501028099</v>
      </c>
      <c r="Q10" s="5">
        <f>com_share_region_target*'LEAP Scenario'!Q10</f>
        <v>0.92117888965044559</v>
      </c>
      <c r="R10" s="4"/>
      <c r="S10" s="1" t="s">
        <v>17</v>
      </c>
      <c r="T10" s="4">
        <f>com_share_region_target*'LEAP Scenario'!T10</f>
        <v>0.67649074708704593</v>
      </c>
      <c r="U10" s="4">
        <f>com_share_region_target*'LEAP Scenario'!U10</f>
        <v>0.9259766963673749</v>
      </c>
      <c r="V10" s="4">
        <f>com_share_region_target*'LEAP Scenario'!V10</f>
        <v>1.1706648389307746</v>
      </c>
      <c r="W10" s="5">
        <f>com_share_region_target*'LEAP Scenario'!W10</f>
        <v>1.592871830020562</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7.9403701165181628</v>
      </c>
      <c r="O11" s="8">
        <f>SUM(O4:O10)</f>
        <v>7.9595613433858823</v>
      </c>
      <c r="P11" s="8">
        <f>SUM(P4:P10)</f>
        <v>7.820424948594928</v>
      </c>
      <c r="Q11" s="9">
        <f>SUM(Q4:Q10)</f>
        <v>7.7484578478409869</v>
      </c>
      <c r="R11" s="4"/>
      <c r="S11" s="7" t="s">
        <v>12</v>
      </c>
      <c r="T11" s="8">
        <f>SUM(T4:T10)</f>
        <v>7.877998629198081</v>
      </c>
      <c r="U11" s="8">
        <f>SUM(U4:U10)</f>
        <v>7.5421521590130229</v>
      </c>
      <c r="V11" s="8">
        <f>SUM(V4:V10)</f>
        <v>7.0287868403015779</v>
      </c>
      <c r="W11" s="9">
        <f>SUM(W4:W10)</f>
        <v>6.3427004797806719</v>
      </c>
    </row>
    <row r="12" spans="1:25" x14ac:dyDescent="0.25">
      <c r="A12" s="1" t="s">
        <v>10</v>
      </c>
      <c r="B12" s="4">
        <f>res_share_region_target*'LEAP Scenario'!B12</f>
        <v>14.579441860465119</v>
      </c>
      <c r="C12" s="4">
        <f>res_share_region_target*'LEAP Scenario'!C12</f>
        <v>11.110511627906979</v>
      </c>
      <c r="D12" s="4">
        <f>res_share_region_target*'LEAP Scenario'!D12</f>
        <v>7.7823255813953498</v>
      </c>
      <c r="E12" s="5">
        <f>res_share_region_target*'LEAP Scenario'!E12</f>
        <v>3.4026976744186053</v>
      </c>
      <c r="G12" s="1" t="s">
        <v>10</v>
      </c>
      <c r="H12" s="4">
        <f>res_share_region_target*'LEAP Scenario'!H12</f>
        <v>14.024744186046513</v>
      </c>
      <c r="I12" s="4">
        <f>res_share_region_target*'LEAP Scenario'!I12</f>
        <v>9.4215813953488379</v>
      </c>
      <c r="J12" s="4">
        <f>res_share_region_target*'LEAP Scenario'!J12</f>
        <v>4.9757209302325593</v>
      </c>
      <c r="K12" s="5">
        <f>res_share_region_target*'LEAP Scenario'!K12</f>
        <v>0</v>
      </c>
      <c r="L12" s="21"/>
    </row>
    <row r="13" spans="1:25" x14ac:dyDescent="0.25">
      <c r="A13" s="1" t="s">
        <v>11</v>
      </c>
      <c r="B13" s="4">
        <f>res_share_region_target*'LEAP Scenario'!B13</f>
        <v>3.0135813953488375</v>
      </c>
      <c r="C13" s="4">
        <f>res_share_region_target*'LEAP Scenario'!C13</f>
        <v>2.6741395348837216</v>
      </c>
      <c r="D13" s="4">
        <f>res_share_region_target*'LEAP Scenario'!D13</f>
        <v>2.4009302325581401</v>
      </c>
      <c r="E13" s="5">
        <f>res_share_region_target*'LEAP Scenario'!E13</f>
        <v>2.1442790697674421</v>
      </c>
      <c r="G13" s="1" t="s">
        <v>11</v>
      </c>
      <c r="H13" s="4">
        <f>res_share_region_target*'LEAP Scenario'!H13</f>
        <v>2.6161860465116282</v>
      </c>
      <c r="I13" s="4">
        <f>res_share_region_target*'LEAP Scenario'!I13</f>
        <v>2.9225116279069772</v>
      </c>
      <c r="J13" s="4">
        <f>res_share_region_target*'LEAP Scenario'!J13</f>
        <v>2.6244651162790702</v>
      </c>
      <c r="K13" s="5">
        <f>res_share_region_target*'LEAP Scenario'!K13</f>
        <v>2.450604651162791</v>
      </c>
      <c r="L13" s="21"/>
      <c r="N13" s="21"/>
      <c r="O13" s="21"/>
      <c r="P13" s="21"/>
      <c r="Q13" s="21"/>
      <c r="T13" s="21"/>
      <c r="U13" s="21"/>
      <c r="V13" s="21"/>
      <c r="W13" s="21"/>
    </row>
    <row r="14" spans="1:25" x14ac:dyDescent="0.25">
      <c r="A14" s="7" t="s">
        <v>12</v>
      </c>
      <c r="B14" s="8">
        <f>SUM(B4:B13)</f>
        <v>42.115627906976748</v>
      </c>
      <c r="C14" s="8">
        <f>SUM(C4:C13)</f>
        <v>35.310232558139539</v>
      </c>
      <c r="D14" s="8">
        <f>SUM(D4:D13)</f>
        <v>29.175441860465121</v>
      </c>
      <c r="E14" s="9">
        <f>SUM(E4:E13)</f>
        <v>19.911162790697677</v>
      </c>
      <c r="G14" s="7" t="s">
        <v>12</v>
      </c>
      <c r="H14" s="8">
        <f>SUM(H4:H13)</f>
        <v>41.031069767441871</v>
      </c>
      <c r="I14" s="8">
        <f>SUM(I4:I13)</f>
        <v>33.497116279069772</v>
      </c>
      <c r="J14" s="8">
        <f>SUM(J4:J13)</f>
        <v>25.333953488372092</v>
      </c>
      <c r="K14" s="9">
        <f>SUM(K4:K13)</f>
        <v>14.27311627906977</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24.1086511627907</v>
      </c>
      <c r="C24" s="4">
        <f>res_share_region_target*'LEAP Scenario'!C24</f>
        <v>19.621395348837211</v>
      </c>
      <c r="D24" s="4">
        <f>res_share_region_target*'LEAP Scenario'!D24</f>
        <v>16.72372093023256</v>
      </c>
      <c r="E24" s="5">
        <f>res_share_region_target*'LEAP Scenario'!E24</f>
        <v>14.041302325581398</v>
      </c>
      <c r="G24" s="1" t="s">
        <v>21</v>
      </c>
      <c r="H24" s="4">
        <f>res_share_region_target*'LEAP Scenario'!H24</f>
        <v>24.199720930232562</v>
      </c>
      <c r="I24" s="4">
        <f>res_share_region_target*'LEAP Scenario'!I24</f>
        <v>17.336372093023257</v>
      </c>
      <c r="J24" s="4">
        <f>res_share_region_target*'LEAP Scenario'!J24</f>
        <v>9.6533953488372113</v>
      </c>
      <c r="K24" s="5">
        <f>res_share_region_target*'LEAP Scenario'!K24</f>
        <v>0.75339534883720938</v>
      </c>
    </row>
    <row r="25" spans="1:16" x14ac:dyDescent="0.25">
      <c r="A25" s="1" t="s">
        <v>22</v>
      </c>
      <c r="B25" s="4">
        <f>res_share_region_target*'LEAP Scenario'!B25</f>
        <v>3.2702325581395355</v>
      </c>
      <c r="C25" s="4">
        <f>res_share_region_target*'LEAP Scenario'!C25</f>
        <v>2.6410232558139537</v>
      </c>
      <c r="D25" s="4">
        <f>res_share_region_target*'LEAP Scenario'!D25</f>
        <v>2.2353488372093029</v>
      </c>
      <c r="E25" s="5">
        <f>res_share_region_target*'LEAP Scenario'!E25</f>
        <v>1.8545116279069771</v>
      </c>
      <c r="G25" s="1" t="s">
        <v>22</v>
      </c>
      <c r="H25" s="4">
        <f>res_share_region_target*'LEAP Scenario'!H25</f>
        <v>3.2288372093023261</v>
      </c>
      <c r="I25" s="4">
        <f>res_share_region_target*'LEAP Scenario'!I25</f>
        <v>2.1525581395348841</v>
      </c>
      <c r="J25" s="4">
        <f>res_share_region_target*'LEAP Scenario'!J25</f>
        <v>1.1673488372093026</v>
      </c>
      <c r="K25" s="5">
        <f>res_share_region_target*'LEAP Scenario'!K25</f>
        <v>0.13246511627906979</v>
      </c>
    </row>
    <row r="26" spans="1:16" x14ac:dyDescent="0.25">
      <c r="A26" s="1" t="s">
        <v>23</v>
      </c>
      <c r="B26" s="4">
        <f>res_share_region_target*'LEAP Scenario'!B26</f>
        <v>2.4837209302325587E-2</v>
      </c>
      <c r="C26" s="4">
        <f>res_share_region_target*'LEAP Scenario'!C26</f>
        <v>7.4511627906976755E-2</v>
      </c>
      <c r="D26" s="4">
        <f>res_share_region_target*'LEAP Scenario'!D26</f>
        <v>0.11590697674418607</v>
      </c>
      <c r="E26" s="5">
        <f>res_share_region_target*'LEAP Scenario'!E26</f>
        <v>0.17386046511627909</v>
      </c>
      <c r="G26" s="1" t="s">
        <v>23</v>
      </c>
      <c r="H26" s="4">
        <f>res_share_region_target*'LEAP Scenario'!H26</f>
        <v>2.4837209302325587E-2</v>
      </c>
      <c r="I26" s="4">
        <f>res_share_region_target*'LEAP Scenario'!I26</f>
        <v>0.67888372093023264</v>
      </c>
      <c r="J26" s="4">
        <f>res_share_region_target*'LEAP Scenario'!J26</f>
        <v>1.9704186046511631</v>
      </c>
      <c r="K26" s="5">
        <f>res_share_region_target*'LEAP Scenario'!K26</f>
        <v>3.8166511627906985</v>
      </c>
    </row>
    <row r="27" spans="1:16" x14ac:dyDescent="0.25">
      <c r="A27" s="1" t="s">
        <v>20</v>
      </c>
      <c r="B27" s="4">
        <f>res_share_region_target*'LEAP Scenario'!B27</f>
        <v>0.87758139534883739</v>
      </c>
      <c r="C27" s="4">
        <f>res_share_region_target*'LEAP Scenario'!C27</f>
        <v>0.82790697674418623</v>
      </c>
      <c r="D27" s="4">
        <f>res_share_region_target*'LEAP Scenario'!D27</f>
        <v>0.81134883720930251</v>
      </c>
      <c r="E27" s="5">
        <f>res_share_region_target*'LEAP Scenario'!E27</f>
        <v>0.80306976744186065</v>
      </c>
      <c r="G27" s="1" t="s">
        <v>20</v>
      </c>
      <c r="H27" s="4">
        <f>res_share_region_target*'LEAP Scenario'!H27</f>
        <v>0.81134883720930251</v>
      </c>
      <c r="I27" s="4">
        <f>res_share_region_target*'LEAP Scenario'!I27</f>
        <v>0.50502325581395358</v>
      </c>
      <c r="J27" s="4">
        <f>res_share_region_target*'LEAP Scenario'!J27</f>
        <v>0.27320930232558144</v>
      </c>
      <c r="K27" s="5">
        <f>res_share_region_target*'LEAP Scenario'!K27</f>
        <v>8.2790697674418618E-3</v>
      </c>
    </row>
    <row r="28" spans="1:16" x14ac:dyDescent="0.25">
      <c r="A28" s="1" t="s">
        <v>18</v>
      </c>
      <c r="B28" s="4">
        <f>res_share_region_target*'LEAP Scenario'!B28</f>
        <v>8.2790697674418618E-3</v>
      </c>
      <c r="C28" s="4">
        <f>res_share_region_target*'LEAP Scenario'!C28</f>
        <v>8.2790697674418618E-3</v>
      </c>
      <c r="D28" s="4">
        <f>res_share_region_target*'LEAP Scenario'!D28</f>
        <v>8.2790697674418618E-3</v>
      </c>
      <c r="E28" s="5">
        <f>res_share_region_target*'LEAP Scenario'!E28</f>
        <v>0</v>
      </c>
      <c r="G28" s="1" t="s">
        <v>18</v>
      </c>
      <c r="H28" s="4">
        <f>res_share_region_target*'LEAP Scenario'!H28</f>
        <v>6.6232558139534894E-2</v>
      </c>
      <c r="I28" s="4">
        <f>res_share_region_target*'LEAP Scenario'!I28</f>
        <v>0.31460465116279074</v>
      </c>
      <c r="J28" s="4">
        <f>res_share_region_target*'LEAP Scenario'!J28</f>
        <v>0.50502325581395358</v>
      </c>
      <c r="K28" s="5">
        <f>res_share_region_target*'LEAP Scenario'!K28</f>
        <v>0.72027906976744194</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28.289581395348844</v>
      </c>
      <c r="C30" s="8">
        <f>SUM(C24:C29)</f>
        <v>23.17311627906977</v>
      </c>
      <c r="D30" s="8">
        <f>SUM(D24:D29)</f>
        <v>19.894604651162791</v>
      </c>
      <c r="E30" s="9">
        <f>SUM(E24:E29)</f>
        <v>16.872744186046514</v>
      </c>
      <c r="G30" s="7" t="s">
        <v>12</v>
      </c>
      <c r="H30" s="8">
        <f>SUM(H24:H29)</f>
        <v>28.330976744186053</v>
      </c>
      <c r="I30" s="8">
        <f>SUM(I24:I29)</f>
        <v>20.987441860465118</v>
      </c>
      <c r="J30" s="8">
        <f>SUM(J24:J29)</f>
        <v>13.569395348837212</v>
      </c>
      <c r="K30" s="9">
        <f>SUM(K24:K29)</f>
        <v>5.4310697674418611</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9.9348837209302349E-2</v>
      </c>
      <c r="C49" s="20">
        <f>res_share_region_target*'LEAP Scenario'!C49</f>
        <v>0.46362790697674428</v>
      </c>
      <c r="D49" s="20">
        <f>res_share_region_target*'LEAP Scenario'!D49</f>
        <v>0.7285581395348838</v>
      </c>
      <c r="E49" s="20">
        <f>res_share_region_target*'LEAP Scenario'!E49</f>
        <v>1.0680000000000003</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42115.627906976748</v>
      </c>
      <c r="J21" s="63">
        <f>'2.Heat Targets'!C24</f>
        <v>35310.232558139542</v>
      </c>
      <c r="K21" s="63">
        <f>'2.Heat Targets'!D24</f>
        <v>29175.441860465122</v>
      </c>
      <c r="L21" s="64">
        <f>'2.Heat Targets'!E24</f>
        <v>19911.162790697676</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336.13023255813954</v>
      </c>
      <c r="J22" s="63">
        <f>'2.Heat Targets'!C25</f>
        <v>1801.5255813953493</v>
      </c>
      <c r="K22" s="63">
        <f>'2.Heat Targets'!D25</f>
        <v>3546.7534883720932</v>
      </c>
      <c r="L22" s="64">
        <f>'2.Heat Targets'!E25</f>
        <v>3799.2651162790694</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41031.06976744187</v>
      </c>
      <c r="J23" s="63">
        <f>'2.Heat Targets'!C26</f>
        <v>33497.116279069771</v>
      </c>
      <c r="K23" s="63">
        <f>'2.Heat Targets'!D26</f>
        <v>25333.953488372092</v>
      </c>
      <c r="L23" s="64">
        <f>'2.Heat Targets'!E26</f>
        <v>14273.116279069769</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452.03720930232561</v>
      </c>
      <c r="J24" s="63">
        <f>'2.Heat Targets'!C27</f>
        <v>2066.4558139534884</v>
      </c>
      <c r="K24" s="63">
        <f>'2.Heat Targets'!D27</f>
        <v>4694.2325581395353</v>
      </c>
      <c r="L24" s="64">
        <f>'2.Heat Targets'!E27</f>
        <v>6557.0232558139551</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968.65116279069434</v>
      </c>
      <c r="J25" s="63">
        <f>'2.Heat Targets'!C28</f>
        <v>1548.1860465116306</v>
      </c>
      <c r="K25" s="63">
        <f>'2.Heat Targets'!D28</f>
        <v>2694.0093023255895</v>
      </c>
      <c r="L25" s="64">
        <f>'2.Heat Targets'!E28</f>
        <v>2880.2883720930195</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7">
        <f>'2.Heat Targets'!B29</f>
        <v>32.200000000000003</v>
      </c>
      <c r="J26" s="307">
        <f>'2.Heat Targets'!C29</f>
        <v>0</v>
      </c>
      <c r="K26" s="307">
        <f>'2.Heat Targets'!D29</f>
        <v>0</v>
      </c>
      <c r="L26" s="307">
        <f>'2.Heat Targets'!E29</f>
        <v>0</v>
      </c>
      <c r="O26" s="307">
        <f>'2.Heat Targets'!B29</f>
        <v>32.200000000000003</v>
      </c>
      <c r="P26" s="307"/>
      <c r="Q26" s="307"/>
      <c r="R26" s="307"/>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30.082334248158208</v>
      </c>
      <c r="J27" s="63">
        <f>'2.Heat Targets'!C30</f>
        <v>48.080312003466787</v>
      </c>
      <c r="K27" s="63">
        <f>'2.Heat Targets'!D30</f>
        <v>83.66488516539097</v>
      </c>
      <c r="L27" s="64">
        <f>'2.Heat Targets'!E30</f>
        <v>89.449949443882588</v>
      </c>
      <c r="O27" s="62">
        <f>O25/$O$26</f>
        <v>316.02095711778333</v>
      </c>
      <c r="P27" s="63">
        <f>P25/$O$26</f>
        <v>1368.6731631002808</v>
      </c>
      <c r="Q27" s="63">
        <f>Q25/$O$26</f>
        <v>2063.6089804693479</v>
      </c>
      <c r="R27" s="64">
        <f>R25/$O$26</f>
        <v>4395.3743814756117</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217</v>
      </c>
      <c r="J28" s="203">
        <f>'2.Heat Targets'!C31</f>
        <v>230.02</v>
      </c>
      <c r="K28" s="203">
        <f>'2.Heat Targets'!D31</f>
        <v>243.82120000000003</v>
      </c>
      <c r="L28" s="203">
        <f>'2.Heat Targets'!E31</f>
        <v>258.45047200000005</v>
      </c>
      <c r="O28" s="203">
        <f>'2.Heat Targets'!B31</f>
        <v>217</v>
      </c>
      <c r="P28" s="203">
        <f>'2.Heat Targets'!C31</f>
        <v>230.02</v>
      </c>
      <c r="Q28" s="203">
        <f>'2.Heat Targets'!D31</f>
        <v>243.82120000000003</v>
      </c>
      <c r="R28" s="203">
        <f>'2.Heat Targets'!E31</f>
        <v>258.45047200000005</v>
      </c>
      <c r="T28" t="str">
        <f>'2.Heat Targets'!G31</f>
        <v>Enter a projection of the number of future residences in the area by each year.</v>
      </c>
    </row>
    <row r="29" spans="8:20" x14ac:dyDescent="0.25">
      <c r="I29" s="86">
        <f>'2.Heat Targets'!B32</f>
        <v>0.1386282684246922</v>
      </c>
      <c r="J29" s="87">
        <f>'2.Heat Targets'!C32</f>
        <v>0.20902665856650199</v>
      </c>
      <c r="K29" s="87">
        <f>'2.Heat Targets'!D32</f>
        <v>0.34314032235667347</v>
      </c>
      <c r="L29" s="88">
        <f>'2.Heat Targets'!E32</f>
        <v>0.34610093280805682</v>
      </c>
      <c r="O29" s="104">
        <f>O27/O28</f>
        <v>1.4563177747363287</v>
      </c>
      <c r="P29" s="105">
        <f>P27/P28</f>
        <v>5.9502354712645893</v>
      </c>
      <c r="Q29" s="105">
        <f>Q27/Q28</f>
        <v>8.4636158811020028</v>
      </c>
      <c r="R29" s="106">
        <f>R27/R28</f>
        <v>17.006640953147926</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128.80000000000001</v>
      </c>
      <c r="J34" s="94">
        <f>'2.Heat Targets'!C54</f>
        <v>122.06934159415864</v>
      </c>
      <c r="K34" s="94">
        <f>'2.Heat Targets'!D54</f>
        <v>117.75088162011511</v>
      </c>
      <c r="L34" s="95">
        <f>'2.Heat Targets'!E54</f>
        <v>117.65554996358057</v>
      </c>
      <c r="O34" s="107">
        <f>'1.Current Heat'!B10</f>
        <v>128.80000000000001</v>
      </c>
      <c r="P34" s="108">
        <f>P29*($O$34-$O$26)+(1-P29)*$O$34</f>
        <v>-62.797582174719764</v>
      </c>
      <c r="Q34" s="108">
        <f>Q29*($O$34-$O$26)+(1-Q29)*$O$34</f>
        <v>-143.72843137148448</v>
      </c>
      <c r="R34" s="110">
        <f>R29*($O$34-$O$26)+(1-R29)*$O$34</f>
        <v>-418.81383869136312</v>
      </c>
      <c r="T34" t="str">
        <f>'2.Heat Targets'!G54</f>
        <v>This is a projection of the average area residential heating load, in millions of Btu, computed based on values inputted above and in the "1.Current Heat" tab</v>
      </c>
    </row>
    <row r="35" spans="9:20" x14ac:dyDescent="0.25">
      <c r="I35" s="81">
        <f>'2.Heat Targets'!B55</f>
        <v>15134.139534883723</v>
      </c>
      <c r="J35" s="82">
        <f>'2.Heat Targets'!C55</f>
        <v>10986.325581395351</v>
      </c>
      <c r="K35" s="82">
        <f>'2.Heat Targets'!D55</f>
        <v>6987.5348837209312</v>
      </c>
      <c r="L35" s="83">
        <f>'2.Heat Targets'!E55</f>
        <v>1051.4418604651164</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7.6586433260393879E-3</v>
      </c>
      <c r="J36" s="97">
        <f>'2.Heat Targets'!C56</f>
        <v>3.7678975131876409E-2</v>
      </c>
      <c r="K36" s="97">
        <f>'2.Heat Targets'!D56</f>
        <v>9.7156398104265393E-2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117.50108334537052</v>
      </c>
      <c r="J37" s="63">
        <f>'2.Heat Targets'!C57</f>
        <v>90.000694997777202</v>
      </c>
      <c r="K37" s="63">
        <f>'2.Heat Targets'!D57</f>
        <v>59.341677850565382</v>
      </c>
      <c r="L37" s="64">
        <f>'2.Heat Targets'!E57</f>
        <v>8.9366108168342482</v>
      </c>
      <c r="O37" s="62">
        <f>O35/O34</f>
        <v>2165.7089426404868</v>
      </c>
      <c r="P37" s="62">
        <f>P35/P34</f>
        <v>-3389.0587340129364</v>
      </c>
      <c r="Q37" s="62">
        <f>Q35/Q34</f>
        <v>-1040.4399197016098</v>
      </c>
      <c r="R37" s="112">
        <f>R35/R34</f>
        <v>-117.60914068110911</v>
      </c>
      <c r="T37" t="str">
        <f>'2.Heat Targets'!G57</f>
        <v>This formula computes an estimate the number of residences using biofuel-blended heat energy in the 90x50 scenario based on values inputted in the "1.Current Heat" tab.</v>
      </c>
    </row>
    <row r="38" spans="9:20" x14ac:dyDescent="0.25">
      <c r="I38" s="65">
        <f>'2.Heat Targets'!B58</f>
        <v>0.54147964675285953</v>
      </c>
      <c r="J38" s="66">
        <f>'2.Heat Targets'!C58</f>
        <v>0.3912733457863542</v>
      </c>
      <c r="K38" s="66">
        <f>'2.Heat Targets'!D58</f>
        <v>0.24338194484550718</v>
      </c>
      <c r="L38" s="67">
        <f>'2.Heat Targets'!E58</f>
        <v>3.4577653303083336E-2</v>
      </c>
      <c r="O38" s="109">
        <f>O37/O28</f>
        <v>9.98022554212206</v>
      </c>
      <c r="P38" s="109">
        <f>P37/P28</f>
        <v>-14.733756777727747</v>
      </c>
      <c r="Q38" s="109">
        <f>Q37/Q28</f>
        <v>-4.2672249980789596</v>
      </c>
      <c r="R38" s="113">
        <f>R37/R28</f>
        <v>-0.45505484966229465</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18006.976744186049</v>
      </c>
      <c r="J39" s="82">
        <f>'2.Heat Targets'!C59</f>
        <v>15092.744186046513</v>
      </c>
      <c r="K39" s="82">
        <f>'2.Heat Targets'!D59</f>
        <v>11963.255813953492</v>
      </c>
      <c r="L39" s="83">
        <f>'2.Heat Targets'!E59</f>
        <v>8659.906976744187</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139.80572006355627</v>
      </c>
      <c r="J40" s="63">
        <f>'2.Heat Targets'!C60</f>
        <v>123.64074376861178</v>
      </c>
      <c r="K40" s="63">
        <f>'2.Heat Targets'!D60</f>
        <v>101.59801480339691</v>
      </c>
      <c r="L40" s="64">
        <f>'2.Heat Targets'!E60</f>
        <v>73.603896963847433</v>
      </c>
      <c r="O40" s="62">
        <f>O39/O34</f>
        <v>1454.2030963321649</v>
      </c>
      <c r="P40" s="62">
        <f>P39/P34</f>
        <v>-3080.4251851632284</v>
      </c>
      <c r="Q40" s="62">
        <f>Q39/Q34</f>
        <v>-1357.8315984537169</v>
      </c>
      <c r="R40" s="112">
        <f>R39/R34</f>
        <v>-476.4892278666797</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0.64426599107629612</v>
      </c>
      <c r="J41" s="66">
        <f>'2.Heat Targets'!C61</f>
        <v>0.53752171014960337</v>
      </c>
      <c r="K41" s="66">
        <f>'2.Heat Targets'!D61</f>
        <v>0.41669065201630084</v>
      </c>
      <c r="L41" s="67">
        <f>'2.Heat Targets'!E61</f>
        <v>0.2847891760238202</v>
      </c>
      <c r="O41" s="109">
        <f>O40/O28</f>
        <v>6.7013967572910822</v>
      </c>
      <c r="P41" s="109">
        <f>P40/P28</f>
        <v>-13.391988458235058</v>
      </c>
      <c r="Q41" s="109">
        <f>Q40/Q28</f>
        <v>-5.5689644643440221</v>
      </c>
      <c r="R41" s="113">
        <f>R40/R28</f>
        <v>-1.8436384510324269</v>
      </c>
      <c r="T41" t="str">
        <f>'2.Heat Targets'!G61</f>
        <v>This formula computes the estimated share of area residences using Wood heat  in the 90x50 scenario, based on values inputted in the "1.Current Heat" tab.</v>
      </c>
    </row>
    <row r="42" spans="9:20" x14ac:dyDescent="0.25">
      <c r="I42" s="81">
        <f>'2.Heat Targets'!B62</f>
        <v>322.88372093023258</v>
      </c>
      <c r="J42" s="82">
        <f>'2.Heat Targets'!C62</f>
        <v>1291.5348837209303</v>
      </c>
      <c r="K42" s="82">
        <f>'2.Heat Targets'!D62</f>
        <v>2607.9069767441861</v>
      </c>
      <c r="L42" s="83">
        <f>'2.Heat Targets'!E62</f>
        <v>3278.5116279069775</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8.5949526423309468</v>
      </c>
      <c r="J43" s="63">
        <f>'2.Heat Targets'!C63</f>
        <v>36.678504788845444</v>
      </c>
      <c r="K43" s="63">
        <f>'2.Heat Targets'!D63</f>
        <v>77.51682444342218</v>
      </c>
      <c r="L43" s="64">
        <f>'2.Heat Targets'!E63</f>
        <v>98.348250582668712</v>
      </c>
      <c r="O43" s="62">
        <f>O42/((0.7*O34)/2.4)</f>
        <v>161.50746168042846</v>
      </c>
      <c r="P43" s="112">
        <f>P42/((0.75*P34)/2.6)</f>
        <v>-1565.5479342303804</v>
      </c>
      <c r="Q43" s="112">
        <f>Q42/((0.8*Q34)/2.8)</f>
        <v>-1607.9612706229714</v>
      </c>
      <c r="R43" s="64">
        <f>R42/((0.85*R34)/3)</f>
        <v>-838.92969202849156</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3.9608076692769341E-2</v>
      </c>
      <c r="J44" s="66">
        <f>'2.Heat Targets'!C64</f>
        <v>0.15945789404767169</v>
      </c>
      <c r="K44" s="66">
        <f>'2.Heat Targets'!D64</f>
        <v>0.31792487463527441</v>
      </c>
      <c r="L44" s="67">
        <f>'2.Heat Targets'!E64</f>
        <v>0.3805303577958592</v>
      </c>
      <c r="O44" s="109">
        <f>O43/O28</f>
        <v>0.74427401696049988</v>
      </c>
      <c r="P44" s="109">
        <f>P43/P28</f>
        <v>-6.8061383107137656</v>
      </c>
      <c r="Q44" s="109">
        <f>Q43/Q28</f>
        <v>-6.5948378181346463</v>
      </c>
      <c r="R44" s="113">
        <f>R43/R28</f>
        <v>-3.2459979103017131</v>
      </c>
      <c r="T44" t="str">
        <f>'2.Heat Targets'!G64</f>
        <v>This formula computes the estimated share of area residences using Heat Pumps in the 90x50 scenario based on values inputted above and in the "1.Current Heat" tab.</v>
      </c>
    </row>
    <row r="45" spans="9:20" x14ac:dyDescent="0.25">
      <c r="I45" s="81">
        <f>'2.Heat Targets'!B65</f>
        <v>5853.3023255813969</v>
      </c>
      <c r="J45" s="82">
        <f>'2.Heat Targets'!C65</f>
        <v>4578.3255813953492</v>
      </c>
      <c r="K45" s="82">
        <f>'2.Heat Targets'!D65</f>
        <v>2930.7906976744193</v>
      </c>
      <c r="L45" s="83">
        <f>'2.Heat Targets'!E65</f>
        <v>1026.6046511627908</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45.444893832153696</v>
      </c>
      <c r="J46" s="63">
        <f>'2.Heat Targets'!C66</f>
        <v>37.505941472321624</v>
      </c>
      <c r="K46" s="63">
        <f>'2.Heat Targets'!D66</f>
        <v>24.889755875711074</v>
      </c>
      <c r="L46" s="64">
        <f>'2.Heat Targets'!E66</f>
        <v>8.7255097739169027</v>
      </c>
      <c r="O46" s="62">
        <f>O45/O34</f>
        <v>1840.3253163080053</v>
      </c>
      <c r="P46" s="62">
        <f>P45/P34</f>
        <v>-2977.0865092829645</v>
      </c>
      <c r="Q46" s="62">
        <f>Q45/Q34</f>
        <v>-820.13117057128477</v>
      </c>
      <c r="R46" s="112">
        <f>R45/R34</f>
        <v>-71.452334434400839</v>
      </c>
      <c r="T46" t="str">
        <f>'2.Heat Targets'!G66</f>
        <v>This formula computes the estimates number of area residences using fossil heat in the 90x50 scenario based on values inputted in the "1.Current Heat" tab.</v>
      </c>
    </row>
    <row r="47" spans="9:20" x14ac:dyDescent="0.25">
      <c r="I47" s="65">
        <f>'2.Heat Targets'!B67</f>
        <v>0.20942347388089261</v>
      </c>
      <c r="J47" s="66">
        <f>'2.Heat Targets'!C67</f>
        <v>0.16305513204209035</v>
      </c>
      <c r="K47" s="66">
        <f>'2.Heat Targets'!D67</f>
        <v>0.10208200056316297</v>
      </c>
      <c r="L47" s="67">
        <f>'2.Heat Targets'!E67</f>
        <v>3.3760858343167978E-2</v>
      </c>
      <c r="O47" s="109">
        <f>O46/O28</f>
        <v>8.4807618263041711</v>
      </c>
      <c r="P47" s="109">
        <f>P46/P28</f>
        <v>-12.942728933496932</v>
      </c>
      <c r="Q47" s="109">
        <f>Q46/Q28</f>
        <v>-3.3636581666043996</v>
      </c>
      <c r="R47" s="113">
        <f>R46/R28</f>
        <v>-0.27646432169952018</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topLeftCell="A25" workbookViewId="0">
      <selection activeCell="E55" sqref="E55"/>
    </sheetView>
  </sheetViews>
  <sheetFormatPr defaultRowHeight="15" x14ac:dyDescent="0.25"/>
  <sheetData>
    <row r="2" spans="1:8" x14ac:dyDescent="0.25">
      <c r="B2" t="s">
        <v>551</v>
      </c>
      <c r="C2" t="s">
        <v>279</v>
      </c>
      <c r="D2" t="s">
        <v>552</v>
      </c>
      <c r="E2" t="s">
        <v>553</v>
      </c>
    </row>
    <row r="3" spans="1:8" x14ac:dyDescent="0.25">
      <c r="A3" t="s">
        <v>554</v>
      </c>
      <c r="B3" s="216">
        <f>SUM(B4:B5)</f>
        <v>11200</v>
      </c>
      <c r="C3" s="216">
        <f t="shared" ref="C3:D3" si="0">SUM(C4:C5)</f>
        <v>2701</v>
      </c>
      <c r="D3" s="216">
        <f t="shared" si="0"/>
        <v>12287</v>
      </c>
      <c r="E3" s="217">
        <f>SUM(B3:D3)</f>
        <v>26188</v>
      </c>
    </row>
    <row r="4" spans="1:8" x14ac:dyDescent="0.25">
      <c r="A4" t="s">
        <v>555</v>
      </c>
      <c r="B4" s="216">
        <v>8789</v>
      </c>
      <c r="C4">
        <v>2156</v>
      </c>
      <c r="D4">
        <v>9047</v>
      </c>
      <c r="E4" s="217">
        <f t="shared" ref="E4:E5" si="1">SUM(B4:D4)</f>
        <v>19992</v>
      </c>
    </row>
    <row r="5" spans="1:8" x14ac:dyDescent="0.25">
      <c r="A5" t="s">
        <v>556</v>
      </c>
      <c r="B5" s="216">
        <v>2411</v>
      </c>
      <c r="C5">
        <v>545</v>
      </c>
      <c r="D5">
        <v>3240</v>
      </c>
      <c r="E5" s="217">
        <f t="shared" si="1"/>
        <v>6196</v>
      </c>
    </row>
    <row r="6" spans="1:8" x14ac:dyDescent="0.25">
      <c r="B6" s="216"/>
      <c r="E6" s="217"/>
    </row>
    <row r="7" spans="1:8" x14ac:dyDescent="0.25">
      <c r="A7" t="s">
        <v>557</v>
      </c>
      <c r="B7" t="s">
        <v>558</v>
      </c>
      <c r="C7" t="s">
        <v>556</v>
      </c>
      <c r="D7" t="s">
        <v>12</v>
      </c>
      <c r="E7" t="s">
        <v>559</v>
      </c>
      <c r="F7" t="s">
        <v>560</v>
      </c>
      <c r="G7" t="s">
        <v>561</v>
      </c>
      <c r="H7" t="s">
        <v>562</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563</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564</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565</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workbookViewId="0">
      <selection activeCell="I12" sqref="I12:K12"/>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59" t="s">
        <v>492</v>
      </c>
      <c r="C3" s="260"/>
      <c r="D3" s="260"/>
      <c r="E3" s="260"/>
      <c r="F3" s="260"/>
      <c r="G3" s="260"/>
      <c r="H3" s="260"/>
      <c r="I3" s="260"/>
      <c r="J3" s="260"/>
      <c r="K3" s="261"/>
      <c r="O3" t="s">
        <v>213</v>
      </c>
    </row>
    <row r="4" spans="2:15" x14ac:dyDescent="0.25">
      <c r="B4" s="101"/>
      <c r="C4" s="238" t="s">
        <v>493</v>
      </c>
      <c r="D4" s="238"/>
      <c r="E4" s="238"/>
      <c r="F4" s="238"/>
      <c r="G4" s="238"/>
      <c r="H4" s="238"/>
      <c r="I4" s="238"/>
      <c r="J4" s="238"/>
      <c r="K4" s="249"/>
      <c r="O4" t="s">
        <v>246</v>
      </c>
    </row>
    <row r="5" spans="2:15" x14ac:dyDescent="0.25">
      <c r="B5" s="101"/>
      <c r="C5" s="238" t="s">
        <v>155</v>
      </c>
      <c r="D5" s="238"/>
      <c r="E5" s="238"/>
      <c r="F5" s="238"/>
      <c r="G5" s="238"/>
      <c r="H5" s="238"/>
      <c r="I5" s="238"/>
      <c r="J5" s="238"/>
      <c r="K5" s="249"/>
      <c r="O5" t="s">
        <v>285</v>
      </c>
    </row>
    <row r="6" spans="2:15" x14ac:dyDescent="0.25">
      <c r="B6" s="101"/>
      <c r="C6" s="102"/>
      <c r="D6" s="238" t="s">
        <v>153</v>
      </c>
      <c r="E6" s="238"/>
      <c r="F6" s="238"/>
      <c r="G6" s="238"/>
      <c r="H6" s="238"/>
      <c r="I6" s="238"/>
      <c r="J6" s="238"/>
      <c r="K6" s="249"/>
      <c r="O6" t="s">
        <v>290</v>
      </c>
    </row>
    <row r="7" spans="2:15" x14ac:dyDescent="0.25">
      <c r="B7" s="101"/>
      <c r="C7" s="102"/>
      <c r="D7" s="238" t="s">
        <v>154</v>
      </c>
      <c r="E7" s="238"/>
      <c r="F7" s="238"/>
      <c r="G7" s="238"/>
      <c r="H7" s="238"/>
      <c r="I7" s="238"/>
      <c r="J7" s="238"/>
      <c r="K7" s="249"/>
      <c r="O7" t="s">
        <v>323</v>
      </c>
    </row>
    <row r="8" spans="2:15" x14ac:dyDescent="0.25">
      <c r="B8" s="101"/>
      <c r="C8" s="102"/>
      <c r="D8" s="262" t="s">
        <v>156</v>
      </c>
      <c r="E8" s="262"/>
      <c r="F8" s="262"/>
      <c r="G8" s="262"/>
      <c r="H8" s="262"/>
      <c r="I8" s="262"/>
      <c r="J8" s="262"/>
      <c r="K8" s="263"/>
      <c r="O8" t="s">
        <v>324</v>
      </c>
    </row>
    <row r="9" spans="2:15" x14ac:dyDescent="0.25">
      <c r="B9" s="101"/>
      <c r="C9" s="102"/>
      <c r="D9" s="102"/>
      <c r="E9" s="102"/>
      <c r="F9" s="102"/>
      <c r="G9" s="102"/>
      <c r="H9" s="102"/>
      <c r="I9" s="102"/>
      <c r="J9" s="102"/>
      <c r="K9" s="103"/>
      <c r="O9" t="s">
        <v>397</v>
      </c>
    </row>
    <row r="10" spans="2:15" ht="15" customHeight="1" x14ac:dyDescent="0.25">
      <c r="B10" s="240" t="s">
        <v>468</v>
      </c>
      <c r="C10" s="241"/>
      <c r="D10" s="241"/>
      <c r="E10" s="241"/>
      <c r="F10" s="241"/>
      <c r="G10" s="241"/>
      <c r="H10" s="241"/>
      <c r="I10" s="264" t="s">
        <v>444</v>
      </c>
      <c r="J10" s="264"/>
      <c r="K10" s="264"/>
      <c r="O10" t="s">
        <v>431</v>
      </c>
    </row>
    <row r="11" spans="2:15" ht="15" customHeight="1" x14ac:dyDescent="0.25">
      <c r="B11" s="240" t="s">
        <v>469</v>
      </c>
      <c r="C11" s="241"/>
      <c r="D11" s="241"/>
      <c r="E11" s="241"/>
      <c r="F11" s="241"/>
      <c r="G11" s="241"/>
      <c r="H11" s="242"/>
      <c r="I11" s="250">
        <f>INDEX(town_population[Pop Share of State],MATCH(I10,town_population[Municipality]))</f>
        <v>8.5254758460816336E-4</v>
      </c>
      <c r="J11" s="251"/>
      <c r="K11" s="252"/>
      <c r="O11" t="s">
        <v>433</v>
      </c>
    </row>
    <row r="12" spans="2:15" ht="15" customHeight="1" x14ac:dyDescent="0.25">
      <c r="B12" s="204" t="s">
        <v>507</v>
      </c>
      <c r="C12" s="205"/>
      <c r="D12" s="205"/>
      <c r="E12" s="205"/>
      <c r="F12" s="205"/>
      <c r="G12" s="205"/>
      <c r="H12" s="205"/>
      <c r="I12" s="250">
        <f>INDEX(town_population[Pop Share of Region],MATCH(I10,town_population[Municipality],0))</f>
        <v>8.2790697674418618E-3</v>
      </c>
      <c r="J12" s="251"/>
      <c r="K12" s="252"/>
    </row>
    <row r="13" spans="2:15" ht="15" customHeight="1" x14ac:dyDescent="0.25">
      <c r="B13" s="256" t="s">
        <v>499</v>
      </c>
      <c r="C13" s="257"/>
      <c r="D13" s="257"/>
      <c r="E13" s="257"/>
      <c r="F13" s="257"/>
      <c r="G13" s="257"/>
      <c r="H13" s="257"/>
      <c r="I13" s="257"/>
      <c r="J13" s="257"/>
      <c r="K13" s="258"/>
    </row>
    <row r="14" spans="2:15" ht="15" customHeight="1" x14ac:dyDescent="0.25">
      <c r="B14" s="206" t="s">
        <v>513</v>
      </c>
      <c r="C14" s="207"/>
      <c r="D14" s="207"/>
      <c r="E14" s="207"/>
      <c r="F14" s="207"/>
      <c r="G14" s="207"/>
      <c r="H14" s="207"/>
      <c r="I14" s="253">
        <f>INDEX(town_establishments[share of state establishments],MATCH(I10,town_establishments[Municipality],0))</f>
        <v>3.676084444911249E-4</v>
      </c>
      <c r="J14" s="254"/>
      <c r="K14" s="255"/>
    </row>
    <row r="15" spans="2:15" ht="15" customHeight="1" x14ac:dyDescent="0.25">
      <c r="B15" s="206" t="s">
        <v>514</v>
      </c>
      <c r="C15" s="207"/>
      <c r="D15" s="207"/>
      <c r="E15" s="207"/>
      <c r="F15" s="207"/>
      <c r="G15" s="207"/>
      <c r="H15" s="207"/>
      <c r="I15" s="250">
        <f>INDEX(town_establishments[share of regional establishments],MATCH(I10,town_establishments[Municipality],0))</f>
        <v>4.7978067169294038E-3</v>
      </c>
      <c r="J15" s="251"/>
      <c r="K15" s="252"/>
    </row>
    <row r="16" spans="2:15" ht="15" customHeight="1" x14ac:dyDescent="0.25">
      <c r="B16" s="256" t="s">
        <v>499</v>
      </c>
      <c r="C16" s="257"/>
      <c r="D16" s="257"/>
      <c r="E16" s="257"/>
      <c r="F16" s="257"/>
      <c r="G16" s="257"/>
      <c r="H16" s="257"/>
      <c r="I16" s="257"/>
      <c r="J16" s="257"/>
      <c r="K16" s="258"/>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38" t="s">
        <v>157</v>
      </c>
      <c r="D20" s="238"/>
      <c r="E20" s="238"/>
      <c r="F20" s="238"/>
      <c r="G20" s="238"/>
      <c r="H20" s="238"/>
      <c r="I20" s="201" t="s">
        <v>497</v>
      </c>
      <c r="J20" s="102"/>
      <c r="K20" s="103"/>
    </row>
    <row r="21" spans="1:15" ht="15" customHeight="1" x14ac:dyDescent="0.25">
      <c r="B21" s="101"/>
      <c r="C21" s="238" t="s">
        <v>495</v>
      </c>
      <c r="D21" s="238"/>
      <c r="E21" s="238"/>
      <c r="F21" s="238"/>
      <c r="G21" s="238"/>
      <c r="H21" s="239"/>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43" t="s">
        <v>501</v>
      </c>
      <c r="C23" s="244"/>
      <c r="D23" s="244"/>
      <c r="E23" s="244"/>
      <c r="F23" s="244"/>
      <c r="G23" s="244"/>
      <c r="H23" s="244"/>
      <c r="I23" s="244"/>
      <c r="J23" s="244"/>
      <c r="K23" s="245"/>
      <c r="O23" s="100"/>
    </row>
    <row r="24" spans="1:15" s="177" customFormat="1" x14ac:dyDescent="0.25">
      <c r="A24" s="199"/>
      <c r="B24" s="243"/>
      <c r="C24" s="244"/>
      <c r="D24" s="244"/>
      <c r="E24" s="244"/>
      <c r="F24" s="244"/>
      <c r="G24" s="244"/>
      <c r="H24" s="244"/>
      <c r="I24" s="244"/>
      <c r="J24" s="244"/>
      <c r="K24" s="245"/>
      <c r="O24" s="100"/>
    </row>
    <row r="25" spans="1:15" x14ac:dyDescent="0.25">
      <c r="B25" s="246"/>
      <c r="C25" s="247"/>
      <c r="D25" s="247"/>
      <c r="E25" s="247"/>
      <c r="F25" s="247"/>
      <c r="G25" s="247"/>
      <c r="H25" s="247"/>
      <c r="I25" s="247"/>
      <c r="J25" s="247"/>
      <c r="K25" s="248"/>
    </row>
    <row r="27" spans="1:15" x14ac:dyDescent="0.25">
      <c r="I27"/>
    </row>
  </sheetData>
  <mergeCells count="18">
    <mergeCell ref="B3:K3"/>
    <mergeCell ref="C20:H20"/>
    <mergeCell ref="D8:K8"/>
    <mergeCell ref="D7:K7"/>
    <mergeCell ref="D6:K6"/>
    <mergeCell ref="B10:H10"/>
    <mergeCell ref="I10:K10"/>
    <mergeCell ref="I11:K11"/>
    <mergeCell ref="C21:H21"/>
    <mergeCell ref="B11:H11"/>
    <mergeCell ref="B23:K25"/>
    <mergeCell ref="C5:K5"/>
    <mergeCell ref="C4:K4"/>
    <mergeCell ref="I12:K12"/>
    <mergeCell ref="I14:K14"/>
    <mergeCell ref="I15:K15"/>
    <mergeCell ref="B16:K16"/>
    <mergeCell ref="B13:K13"/>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topLeftCell="A12" zoomScale="70" zoomScaleNormal="70" workbookViewId="0">
      <selection activeCell="B33" sqref="B33"/>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33797.993143939391</v>
      </c>
      <c r="C5" s="265"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450</v>
      </c>
      <c r="C9" s="268" t="s">
        <v>483</v>
      </c>
      <c r="D9" s="266"/>
      <c r="E9" s="266"/>
      <c r="F9" s="266"/>
      <c r="G9" s="266"/>
      <c r="H9" s="266"/>
      <c r="I9" s="266"/>
      <c r="J9" s="266"/>
      <c r="K9" s="266"/>
      <c r="L9" s="266"/>
      <c r="M9" s="266"/>
      <c r="N9" s="266"/>
    </row>
    <row r="10" spans="1:16" ht="36" customHeight="1" x14ac:dyDescent="0.25">
      <c r="B10" s="21"/>
      <c r="C10" s="31"/>
      <c r="D10" s="125" t="s">
        <v>60</v>
      </c>
      <c r="E10" s="269" t="s">
        <v>64</v>
      </c>
      <c r="F10" s="269"/>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70"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70"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286363.63636363635</v>
      </c>
      <c r="C18" s="267" t="s">
        <v>43</v>
      </c>
      <c r="D18" s="267"/>
      <c r="E18" s="267"/>
      <c r="F18" s="267"/>
      <c r="G18" s="267"/>
      <c r="H18" s="267"/>
      <c r="I18" s="267"/>
      <c r="J18" s="267"/>
      <c r="K18" s="267"/>
      <c r="L18" s="267"/>
      <c r="M18" s="267"/>
      <c r="N18" s="267"/>
    </row>
    <row r="19" spans="1:14" ht="36" customHeight="1" x14ac:dyDescent="0.25">
      <c r="A19" s="32">
        <v>4</v>
      </c>
      <c r="B19" s="121">
        <v>0.09</v>
      </c>
      <c r="C19" s="270" t="s">
        <v>486</v>
      </c>
      <c r="D19" s="266"/>
      <c r="E19" s="266"/>
      <c r="F19" s="266"/>
      <c r="G19" s="266"/>
      <c r="H19" s="266"/>
      <c r="I19" s="266"/>
      <c r="J19" s="266"/>
      <c r="K19" s="266"/>
      <c r="L19" s="266"/>
      <c r="M19" s="266"/>
      <c r="N19" s="266"/>
    </row>
    <row r="20" spans="1:14" ht="36" customHeight="1" x14ac:dyDescent="0.25">
      <c r="B20" s="120">
        <f>(1-B19)*B18</f>
        <v>260590.90909090909</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31598.86275</v>
      </c>
      <c r="C22" s="266" t="s">
        <v>66</v>
      </c>
      <c r="D22" s="266"/>
      <c r="E22" s="266"/>
      <c r="F22" s="266"/>
      <c r="G22" s="266"/>
      <c r="H22" s="266"/>
      <c r="I22" s="266"/>
      <c r="J22" s="266"/>
      <c r="K22" s="266"/>
      <c r="L22" s="266"/>
      <c r="M22" s="266"/>
      <c r="N22" s="266"/>
    </row>
    <row r="23" spans="1:14" ht="36" customHeight="1" x14ac:dyDescent="0.25">
      <c r="B23" s="120">
        <f>B18-B20</f>
        <v>25772.727272727265</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2183.2077272727265</v>
      </c>
      <c r="C25" s="266" t="s">
        <v>69</v>
      </c>
      <c r="D25" s="266"/>
      <c r="E25" s="266"/>
      <c r="F25" s="266"/>
      <c r="G25" s="266"/>
      <c r="H25" s="266"/>
      <c r="I25" s="266"/>
      <c r="J25" s="266"/>
      <c r="K25" s="266"/>
      <c r="L25" s="266"/>
      <c r="M25" s="266"/>
      <c r="N25" s="266"/>
    </row>
    <row r="26" spans="1:14" ht="36" customHeight="1" x14ac:dyDescent="0.25">
      <c r="B26" s="122">
        <f>B22+B25</f>
        <v>33782.070477272726</v>
      </c>
      <c r="C26" s="265"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2</v>
      </c>
      <c r="C32" s="270"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4666.666666666667</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15.922666666666668</v>
      </c>
      <c r="C38" s="271"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32:M32"/>
    <mergeCell ref="C34:N34"/>
    <mergeCell ref="C38:N38"/>
    <mergeCell ref="C37:N37"/>
    <mergeCell ref="C36:N36"/>
    <mergeCell ref="C35:N35"/>
    <mergeCell ref="C19:N19"/>
    <mergeCell ref="C26:N26"/>
    <mergeCell ref="C25:N25"/>
    <mergeCell ref="C24:N24"/>
    <mergeCell ref="C23:N23"/>
    <mergeCell ref="C22:N22"/>
    <mergeCell ref="C21:N21"/>
    <mergeCell ref="C20:N20"/>
    <mergeCell ref="C5:N5"/>
    <mergeCell ref="C18:N18"/>
    <mergeCell ref="C9:N9"/>
    <mergeCell ref="E10:F10"/>
    <mergeCell ref="E11:F11"/>
    <mergeCell ref="G11:N11"/>
    <mergeCell ref="G10:N10"/>
    <mergeCell ref="E12:N12"/>
    <mergeCell ref="C13:N13"/>
    <mergeCell ref="C14:N14"/>
    <mergeCell ref="E16:N16"/>
    <mergeCell ref="E17:N17"/>
    <mergeCell ref="E15:N1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0" sqref="B10"/>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30640.659552540325</v>
      </c>
      <c r="C4" s="265"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217</v>
      </c>
      <c r="C8" s="277" t="s">
        <v>79</v>
      </c>
      <c r="D8" s="267"/>
      <c r="E8" s="267"/>
      <c r="F8" s="267"/>
      <c r="G8" s="267"/>
      <c r="H8" s="267"/>
      <c r="I8" s="267"/>
      <c r="J8" s="267"/>
      <c r="K8" s="267"/>
      <c r="L8" s="267"/>
      <c r="M8" s="267"/>
      <c r="N8" s="267"/>
    </row>
    <row r="9" spans="1:15" ht="42.75" customHeight="1" x14ac:dyDescent="0.25">
      <c r="B9" s="56"/>
      <c r="C9" s="26"/>
      <c r="D9" s="57" t="s">
        <v>92</v>
      </c>
      <c r="E9" s="276" t="s">
        <v>64</v>
      </c>
      <c r="F9" s="276"/>
      <c r="G9" s="267" t="s">
        <v>81</v>
      </c>
      <c r="H9" s="267"/>
      <c r="I9" s="267"/>
      <c r="J9" s="267"/>
      <c r="K9" s="267"/>
      <c r="L9" s="267"/>
      <c r="M9" s="267"/>
      <c r="N9" s="267"/>
    </row>
    <row r="10" spans="1:15" ht="52.5" customHeight="1" x14ac:dyDescent="0.25">
      <c r="A10" s="54">
        <v>2</v>
      </c>
      <c r="B10" s="36">
        <v>128.80000000000001</v>
      </c>
      <c r="C10" s="272" t="s">
        <v>543</v>
      </c>
      <c r="D10" s="273"/>
      <c r="E10" s="273"/>
      <c r="F10" s="273"/>
      <c r="G10" s="273"/>
      <c r="H10" s="273"/>
      <c r="I10" s="273"/>
      <c r="J10" s="273"/>
      <c r="K10" s="273"/>
      <c r="L10" s="273"/>
      <c r="M10" s="273"/>
      <c r="N10" s="273"/>
      <c r="O10" s="212">
        <f>SUM('2.Heat Targets'!E58,'2.Heat Targets'!E61,'2.Heat Targets'!E64,'2.Heat Targets'!E67)</f>
        <v>0.73365804546593072</v>
      </c>
    </row>
    <row r="11" spans="1:15" ht="42.75" customHeight="1" x14ac:dyDescent="0.25">
      <c r="B11" s="54"/>
      <c r="C11" s="59"/>
      <c r="D11" s="33" t="s">
        <v>58</v>
      </c>
      <c r="E11" s="273" t="s">
        <v>86</v>
      </c>
      <c r="F11" s="273"/>
      <c r="G11" s="273"/>
      <c r="H11" s="273"/>
      <c r="I11" s="273"/>
      <c r="J11" s="273"/>
      <c r="K11" s="273"/>
      <c r="L11" s="273"/>
      <c r="M11" s="273"/>
      <c r="N11" s="273"/>
    </row>
    <row r="12" spans="1:15" ht="42.75" customHeight="1" x14ac:dyDescent="0.25">
      <c r="B12" s="56"/>
      <c r="C12" s="60"/>
      <c r="D12" s="34">
        <v>0.26</v>
      </c>
      <c r="E12" s="273" t="s">
        <v>83</v>
      </c>
      <c r="F12" s="273"/>
      <c r="G12" s="273"/>
      <c r="H12" s="273"/>
      <c r="I12" s="273"/>
      <c r="J12" s="273"/>
      <c r="K12" s="273"/>
      <c r="L12" s="273"/>
      <c r="M12" s="273"/>
      <c r="N12" s="273"/>
    </row>
    <row r="13" spans="1:15" ht="42.75" customHeight="1" x14ac:dyDescent="0.25">
      <c r="B13" s="56"/>
      <c r="C13" s="60"/>
      <c r="D13" s="34">
        <v>0.5</v>
      </c>
      <c r="E13" s="273" t="s">
        <v>84</v>
      </c>
      <c r="F13" s="273"/>
      <c r="G13" s="273"/>
      <c r="H13" s="273"/>
      <c r="I13" s="273"/>
      <c r="J13" s="273"/>
      <c r="K13" s="273"/>
      <c r="L13" s="273"/>
      <c r="M13" s="273"/>
      <c r="N13" s="273"/>
    </row>
    <row r="14" spans="1:15" ht="42.75" customHeight="1" x14ac:dyDescent="0.25">
      <c r="B14" s="56"/>
      <c r="C14" s="60"/>
      <c r="D14" s="34">
        <v>0.2</v>
      </c>
      <c r="E14" s="273" t="s">
        <v>85</v>
      </c>
      <c r="F14" s="273"/>
      <c r="G14" s="273"/>
      <c r="H14" s="273"/>
      <c r="I14" s="273"/>
      <c r="J14" s="273"/>
      <c r="K14" s="273"/>
      <c r="L14" s="273"/>
      <c r="M14" s="273"/>
      <c r="N14" s="273"/>
    </row>
    <row r="15" spans="1:15" ht="42.75" customHeight="1" x14ac:dyDescent="0.25">
      <c r="B15" s="56"/>
      <c r="C15" s="60"/>
      <c r="D15" s="35">
        <v>2.2999999999999998</v>
      </c>
      <c r="E15" s="273" t="s">
        <v>87</v>
      </c>
      <c r="F15" s="273"/>
      <c r="G15" s="273"/>
      <c r="H15" s="273"/>
      <c r="I15" s="273"/>
      <c r="J15" s="273"/>
      <c r="K15" s="273"/>
      <c r="L15" s="273"/>
      <c r="M15" s="273"/>
      <c r="N15" s="273"/>
    </row>
    <row r="16" spans="1:15" ht="42.75" customHeight="1" x14ac:dyDescent="0.25">
      <c r="B16" s="56"/>
      <c r="C16" s="60"/>
      <c r="D16" s="34">
        <f>(20000*1.25)/257000</f>
        <v>9.727626459143969E-2</v>
      </c>
      <c r="E16" s="273" t="s">
        <v>93</v>
      </c>
      <c r="F16" s="273"/>
      <c r="G16" s="273"/>
      <c r="H16" s="273"/>
      <c r="I16" s="273"/>
      <c r="J16" s="273"/>
      <c r="K16" s="273"/>
      <c r="L16" s="273"/>
      <c r="M16" s="273"/>
      <c r="N16" s="273"/>
    </row>
    <row r="17" spans="1:17" x14ac:dyDescent="0.25">
      <c r="B17" s="56"/>
      <c r="C17" s="27"/>
      <c r="F17" s="26"/>
      <c r="G17" s="27"/>
      <c r="H17" s="27"/>
      <c r="I17" s="27"/>
      <c r="J17" s="27"/>
      <c r="K17" s="27"/>
      <c r="L17" s="27"/>
    </row>
    <row r="18" spans="1:17" ht="42.75" customHeight="1" x14ac:dyDescent="0.25">
      <c r="B18" s="55">
        <f>B8*B10</f>
        <v>27949.600000000002</v>
      </c>
      <c r="C18" s="271"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7</v>
      </c>
      <c r="C22" s="268"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384.43707893433168</v>
      </c>
      <c r="C24" s="274" t="s">
        <v>541</v>
      </c>
      <c r="D24" s="275"/>
      <c r="E24" s="275"/>
      <c r="F24" s="275"/>
      <c r="G24" s="275"/>
      <c r="H24" s="275"/>
      <c r="I24" s="275"/>
      <c r="J24" s="275"/>
      <c r="K24" s="275"/>
      <c r="L24" s="275"/>
      <c r="M24" s="275"/>
      <c r="N24" s="275"/>
      <c r="O24" s="212">
        <f ca="1">SUM('2.Heat Targets'!E76,'2.Heat Targets'!E79,'2.Heat Targets'!E82,'2.Heat Targets'!E85)</f>
        <v>1.3233014308565934</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2</v>
      </c>
      <c r="L28" s="41">
        <f t="shared" ca="1" si="1"/>
        <v>0.2857142857142857</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0</v>
      </c>
      <c r="L29" s="41">
        <f t="shared" ca="1" si="1"/>
        <v>0</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1</v>
      </c>
      <c r="L32" s="41">
        <f t="shared" ca="1" si="1"/>
        <v>0.14285714285714285</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v>
      </c>
      <c r="L33" s="41">
        <f t="shared" ca="1" si="1"/>
        <v>0.14285714285714285</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1</v>
      </c>
      <c r="L35" s="41">
        <f t="shared" ca="1" si="1"/>
        <v>0.14285714285714285</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0</v>
      </c>
      <c r="L36" s="41">
        <f t="shared" ca="1" si="1"/>
        <v>0</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1</v>
      </c>
      <c r="L37" s="41">
        <f t="shared" ca="1" si="1"/>
        <v>0.14285714285714285</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0</v>
      </c>
      <c r="L39" s="41">
        <f t="shared" ca="1" si="1"/>
        <v>0</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1</v>
      </c>
      <c r="L40" s="41">
        <f t="shared" ca="1" si="1"/>
        <v>0.14285714285714285</v>
      </c>
      <c r="Q40" s="23"/>
    </row>
    <row r="41" spans="2:19" ht="33" customHeight="1" x14ac:dyDescent="0.25">
      <c r="B41" s="54"/>
      <c r="D41" s="42"/>
      <c r="E41" s="185">
        <f>SUM(E27:E40)</f>
        <v>18617</v>
      </c>
      <c r="F41" s="185"/>
      <c r="G41" s="185">
        <f>SUM(G27:G40)</f>
        <v>201453</v>
      </c>
      <c r="H41" s="43"/>
      <c r="I41" s="44">
        <v>13000000</v>
      </c>
      <c r="J41" s="43"/>
      <c r="K41" s="185">
        <f ca="1">SUM(K27:K40)</f>
        <v>7</v>
      </c>
      <c r="L41" s="45">
        <f ca="1">SUMPRODUCT(J27:J40,L27:L40)</f>
        <v>384.43707893433168</v>
      </c>
      <c r="M41" s="278" t="s">
        <v>542</v>
      </c>
      <c r="N41" s="279"/>
      <c r="O41" s="279"/>
      <c r="P41" s="279"/>
      <c r="Q41" s="279"/>
      <c r="R41" s="279"/>
      <c r="S41" s="279"/>
    </row>
    <row r="42" spans="2:19" ht="22.5" customHeight="1" x14ac:dyDescent="0.25">
      <c r="B42" s="54"/>
    </row>
    <row r="43" spans="2:19" ht="37.5" customHeight="1" x14ac:dyDescent="0.25">
      <c r="B43" s="55">
        <f ca="1">B22*B24</f>
        <v>2691.0595525403219</v>
      </c>
      <c r="C43" s="271" t="s">
        <v>488</v>
      </c>
      <c r="D43" s="267"/>
      <c r="E43" s="267"/>
      <c r="F43" s="267"/>
      <c r="G43" s="267"/>
      <c r="H43" s="267"/>
      <c r="I43" s="267"/>
      <c r="J43" s="267"/>
      <c r="K43" s="267"/>
      <c r="L43" s="267"/>
      <c r="M43" s="267"/>
      <c r="N43" s="267"/>
    </row>
    <row r="45" spans="2:19" ht="37.5" customHeight="1" x14ac:dyDescent="0.25">
      <c r="B45" s="194">
        <f ca="1">SUMPRODUCT(K27:K40,H27:H40)/SUMPRODUCT(E27:E40,H27:H40)</f>
        <v>3.4192918518121296E-4</v>
      </c>
      <c r="C45" s="266" t="s">
        <v>489</v>
      </c>
      <c r="D45" s="266"/>
      <c r="E45" s="266"/>
      <c r="F45" s="266"/>
      <c r="G45" s="266"/>
      <c r="H45" s="266"/>
      <c r="I45" s="266"/>
      <c r="J45" s="266"/>
      <c r="K45" s="266"/>
      <c r="L45" s="266"/>
      <c r="M45" s="266"/>
      <c r="N45" s="266"/>
      <c r="O45" s="266"/>
    </row>
    <row r="52" spans="4:4" x14ac:dyDescent="0.25">
      <c r="D52" s="23"/>
    </row>
  </sheetData>
  <mergeCells count="17">
    <mergeCell ref="E12:N12"/>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74" zoomScale="70" zoomScaleNormal="70" workbookViewId="0">
      <selection activeCell="C63" sqref="C63"/>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6" t="s">
        <v>491</v>
      </c>
      <c r="C4" s="287"/>
      <c r="D4" s="287"/>
      <c r="E4" s="287"/>
      <c r="F4" s="287"/>
      <c r="G4" s="287"/>
      <c r="H4" s="287"/>
      <c r="I4" s="287"/>
      <c r="J4" s="287"/>
      <c r="K4" s="287"/>
      <c r="L4" s="287"/>
      <c r="M4" s="287"/>
      <c r="N4" s="288"/>
    </row>
    <row r="5" spans="2:15" ht="19.5" customHeight="1" x14ac:dyDescent="0.25">
      <c r="B5" s="289"/>
      <c r="C5" s="290"/>
      <c r="D5" s="290"/>
      <c r="E5" s="290"/>
      <c r="F5" s="290"/>
      <c r="G5" s="290"/>
      <c r="H5" s="290"/>
      <c r="I5" s="290"/>
      <c r="J5" s="290"/>
      <c r="K5" s="290"/>
      <c r="L5" s="290"/>
      <c r="M5" s="290"/>
      <c r="N5" s="291"/>
    </row>
    <row r="6" spans="2:15" ht="19.5" customHeight="1" x14ac:dyDescent="0.25">
      <c r="B6" s="292"/>
      <c r="C6" s="293"/>
      <c r="D6" s="293"/>
      <c r="E6" s="293"/>
      <c r="F6" s="293"/>
      <c r="G6" s="293"/>
      <c r="H6" s="293"/>
      <c r="I6" s="293"/>
      <c r="J6" s="293"/>
      <c r="K6" s="293"/>
      <c r="L6" s="293"/>
      <c r="M6" s="293"/>
      <c r="N6" s="294"/>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5" t="s">
        <v>150</v>
      </c>
      <c r="N11" s="296"/>
      <c r="O11" s="297"/>
    </row>
    <row r="12" spans="2:15" x14ac:dyDescent="0.25">
      <c r="B12" s="1">
        <v>100</v>
      </c>
      <c r="C12" s="2" t="s">
        <v>99</v>
      </c>
      <c r="D12" s="2"/>
      <c r="E12" s="2"/>
      <c r="F12" s="2"/>
      <c r="G12" s="2"/>
      <c r="H12" s="2"/>
      <c r="I12" s="2"/>
      <c r="J12" s="2"/>
      <c r="K12" s="3"/>
      <c r="M12" s="298"/>
      <c r="N12" s="299"/>
      <c r="O12" s="300"/>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5" t="s">
        <v>168</v>
      </c>
      <c r="N14" s="296"/>
      <c r="O14" s="297"/>
    </row>
    <row r="15" spans="2:15" x14ac:dyDescent="0.25">
      <c r="B15" s="1">
        <v>100</v>
      </c>
      <c r="C15" s="114" t="s">
        <v>164</v>
      </c>
      <c r="D15" s="2"/>
      <c r="E15" s="2"/>
      <c r="F15" s="2"/>
      <c r="G15" s="2"/>
      <c r="H15" s="2"/>
      <c r="I15" s="2"/>
      <c r="J15" s="2"/>
      <c r="K15" s="3"/>
      <c r="M15" s="298"/>
      <c r="N15" s="299"/>
      <c r="O15" s="300"/>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5" t="s">
        <v>169</v>
      </c>
      <c r="N17" s="296"/>
      <c r="O17" s="297"/>
    </row>
    <row r="18" spans="2:18" x14ac:dyDescent="0.25">
      <c r="B18" s="1">
        <v>100</v>
      </c>
      <c r="C18" s="2" t="s">
        <v>161</v>
      </c>
      <c r="D18" s="2"/>
      <c r="E18" s="2"/>
      <c r="F18" s="2"/>
      <c r="G18" s="2"/>
      <c r="H18" s="2"/>
      <c r="I18" s="2"/>
      <c r="J18" s="2"/>
      <c r="K18" s="3"/>
      <c r="M18" s="298"/>
      <c r="N18" s="299"/>
      <c r="O18" s="300"/>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42115.627906976748</v>
      </c>
      <c r="C24" s="129">
        <f>'LEAP Region'!C14*1000</f>
        <v>35310.232558139542</v>
      </c>
      <c r="D24" s="129">
        <f>'LEAP Region'!D14*1000</f>
        <v>29175.441860465122</v>
      </c>
      <c r="E24" s="130">
        <f>'LEAP Region'!E14*1000</f>
        <v>19911.162790697676</v>
      </c>
      <c r="G24" s="301" t="s">
        <v>122</v>
      </c>
      <c r="H24" s="301"/>
      <c r="I24" s="301"/>
      <c r="J24" s="301"/>
      <c r="K24" s="301"/>
      <c r="L24" s="301"/>
      <c r="M24" s="301"/>
      <c r="N24" s="301"/>
    </row>
    <row r="25" spans="2:18" ht="56.25" customHeight="1" x14ac:dyDescent="0.25">
      <c r="B25" s="178">
        <f>('LEAP Region'!B7+'LEAP Region'!B8)*(2.4-1)*1000</f>
        <v>336.13023255813954</v>
      </c>
      <c r="C25" s="179">
        <f>('LEAP Region'!C7+'LEAP Region'!C8)*(2.6-1)*1000</f>
        <v>1801.5255813953493</v>
      </c>
      <c r="D25" s="179">
        <f>('LEAP Region'!D7+'LEAP Region'!D8)*(2.8-1)*1000</f>
        <v>3546.7534883720932</v>
      </c>
      <c r="E25" s="180">
        <f>('LEAP Region'!E7+'LEAP Region'!E8)*(2.3-1)*1000</f>
        <v>3799.2651162790694</v>
      </c>
      <c r="G25" s="301" t="s">
        <v>178</v>
      </c>
      <c r="H25" s="301"/>
      <c r="I25" s="301"/>
      <c r="J25" s="301"/>
      <c r="K25" s="301"/>
      <c r="L25" s="301"/>
      <c r="M25" s="301"/>
      <c r="N25" s="301"/>
    </row>
    <row r="26" spans="2:18" ht="56.25" customHeight="1" x14ac:dyDescent="0.25">
      <c r="B26" s="128">
        <f>'LEAP Region'!H14*1000</f>
        <v>41031.06976744187</v>
      </c>
      <c r="C26" s="129">
        <f>'LEAP Region'!I14*1000</f>
        <v>33497.116279069771</v>
      </c>
      <c r="D26" s="129">
        <f>'LEAP Region'!J14*1000</f>
        <v>25333.953488372092</v>
      </c>
      <c r="E26" s="130">
        <f>'LEAP Region'!K14*1000</f>
        <v>14273.116279069769</v>
      </c>
      <c r="G26" s="301" t="s">
        <v>123</v>
      </c>
      <c r="H26" s="301"/>
      <c r="I26" s="301"/>
      <c r="J26" s="301"/>
      <c r="K26" s="301"/>
      <c r="L26" s="301"/>
      <c r="M26" s="301"/>
      <c r="N26" s="301"/>
    </row>
    <row r="27" spans="2:18" ht="56.25" customHeight="1" thickBot="1" x14ac:dyDescent="0.3">
      <c r="B27" s="181">
        <f>('LEAP Region'!H7+'LEAP Region'!H8)*(2.4-1)*1000</f>
        <v>452.03720930232561</v>
      </c>
      <c r="C27" s="182">
        <f>('LEAP Region'!I7+'LEAP Region'!I8)*(2.6-1)*1000</f>
        <v>2066.4558139534884</v>
      </c>
      <c r="D27" s="182">
        <f>('LEAP Region'!J7+'LEAP Region'!J8)*(2.8-1)*1000</f>
        <v>4694.2325581395353</v>
      </c>
      <c r="E27" s="183">
        <f>('LEAP Region'!K7+'LEAP Region'!K8)*(3-1)*1000</f>
        <v>6557.0232558139551</v>
      </c>
      <c r="G27" s="301" t="s">
        <v>178</v>
      </c>
      <c r="H27" s="301"/>
      <c r="I27" s="301"/>
      <c r="J27" s="301"/>
      <c r="K27" s="301"/>
      <c r="L27" s="301"/>
      <c r="M27" s="301"/>
      <c r="N27" s="301"/>
    </row>
    <row r="28" spans="2:18" ht="56.25" customHeight="1" thickTop="1" x14ac:dyDescent="0.25">
      <c r="B28" s="128">
        <f>B24+B25-B26-B27</f>
        <v>968.65116279069434</v>
      </c>
      <c r="C28" s="129">
        <f>C24+C25-C26-C27</f>
        <v>1548.1860465116306</v>
      </c>
      <c r="D28" s="129">
        <f>D24+D25-D26-D27</f>
        <v>2694.0093023255895</v>
      </c>
      <c r="E28" s="130">
        <f>E24+E25-E26-E27</f>
        <v>2880.2883720930195</v>
      </c>
      <c r="G28" s="301" t="s">
        <v>177</v>
      </c>
      <c r="H28" s="301"/>
      <c r="I28" s="301"/>
      <c r="J28" s="301"/>
      <c r="K28" s="301"/>
      <c r="L28" s="301"/>
      <c r="M28" s="301"/>
      <c r="N28" s="301"/>
    </row>
    <row r="29" spans="2:18" ht="56.25" customHeight="1" x14ac:dyDescent="0.25">
      <c r="B29" s="280">
        <f>0.25*'1.Current Heat'!B10</f>
        <v>32.200000000000003</v>
      </c>
      <c r="C29" s="281"/>
      <c r="D29" s="281"/>
      <c r="E29" s="282"/>
      <c r="G29" s="301" t="s">
        <v>124</v>
      </c>
      <c r="H29" s="301"/>
      <c r="I29" s="301"/>
      <c r="J29" s="301"/>
      <c r="K29" s="301"/>
      <c r="L29" s="301"/>
      <c r="M29" s="301"/>
      <c r="N29" s="301"/>
      <c r="R29">
        <v>60</v>
      </c>
    </row>
    <row r="30" spans="2:18" ht="56.25" customHeight="1" x14ac:dyDescent="0.25">
      <c r="B30" s="128">
        <f>B28/$B$29</f>
        <v>30.082334248158208</v>
      </c>
      <c r="C30" s="129">
        <f>C28/$B$29</f>
        <v>48.080312003466787</v>
      </c>
      <c r="D30" s="129">
        <f>D28/$B$29</f>
        <v>83.66488516539097</v>
      </c>
      <c r="E30" s="130">
        <f>E28/$B$29</f>
        <v>89.449949443882588</v>
      </c>
      <c r="G30" s="301" t="s">
        <v>125</v>
      </c>
      <c r="H30" s="301"/>
      <c r="I30" s="301"/>
      <c r="J30" s="301"/>
      <c r="K30" s="301"/>
      <c r="L30" s="301"/>
      <c r="M30" s="301"/>
      <c r="N30" s="301"/>
      <c r="R30">
        <v>96</v>
      </c>
    </row>
    <row r="31" spans="2:18" ht="56.25" customHeight="1" x14ac:dyDescent="0.25">
      <c r="B31" s="131">
        <f>'1.Current Heat'!B8</f>
        <v>217</v>
      </c>
      <c r="C31" s="132">
        <f t="shared" ref="C31:E31" si="0">B31*1.06</f>
        <v>230.02</v>
      </c>
      <c r="D31" s="132">
        <f t="shared" si="0"/>
        <v>243.82120000000003</v>
      </c>
      <c r="E31" s="133">
        <f t="shared" si="0"/>
        <v>258.45047200000005</v>
      </c>
      <c r="G31" s="301" t="s">
        <v>126</v>
      </c>
      <c r="H31" s="301"/>
      <c r="I31" s="301"/>
      <c r="J31" s="301"/>
      <c r="K31" s="301"/>
      <c r="L31" s="301"/>
      <c r="M31" s="301"/>
      <c r="N31" s="301"/>
      <c r="O31" s="186">
        <f>(E31/B31)^(1/(E23-B23))-1</f>
        <v>5.006971033976404E-3</v>
      </c>
      <c r="R31">
        <f>R29+R30</f>
        <v>156</v>
      </c>
    </row>
    <row r="32" spans="2:18" ht="56.25" customHeight="1" x14ac:dyDescent="0.25">
      <c r="B32" s="134">
        <f>B30/B31</f>
        <v>0.1386282684246922</v>
      </c>
      <c r="C32" s="135">
        <f>C30/C31</f>
        <v>0.20902665856650199</v>
      </c>
      <c r="D32" s="135">
        <f>D30/D31</f>
        <v>0.34314032235667347</v>
      </c>
      <c r="E32" s="136">
        <f>E30/E31</f>
        <v>0.34610093280805682</v>
      </c>
      <c r="G32" s="301" t="s">
        <v>183</v>
      </c>
      <c r="H32" s="301"/>
      <c r="I32" s="301"/>
      <c r="J32" s="301"/>
      <c r="K32" s="301"/>
      <c r="L32" s="301"/>
      <c r="M32" s="301"/>
      <c r="N32" s="30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4322.8238519533925</v>
      </c>
      <c r="C37" s="129">
        <f>('LEAP Region'!O11-'LEAP Region'!O6)*1000</f>
        <v>4111.7203564085012</v>
      </c>
      <c r="D37" s="129">
        <f>('LEAP Region'!P11-'LEAP Region'!P6)*1000</f>
        <v>3804.6607265250173</v>
      </c>
      <c r="E37" s="130">
        <f>('LEAP Region'!Q11-'LEAP Region'!Q6)*1000</f>
        <v>3377.6559287183004</v>
      </c>
      <c r="G37" s="301" t="s">
        <v>179</v>
      </c>
      <c r="H37" s="301"/>
      <c r="I37" s="301"/>
      <c r="J37" s="301"/>
      <c r="K37" s="301"/>
      <c r="L37" s="301"/>
      <c r="M37" s="301"/>
      <c r="N37" s="301"/>
    </row>
    <row r="38" spans="2:34" ht="56.25" customHeight="1" x14ac:dyDescent="0.25">
      <c r="B38" s="128">
        <f>'LEAP Region'!N6*1000</f>
        <v>3617.5462645647704</v>
      </c>
      <c r="C38" s="129">
        <f>'LEAP Region'!O6*1000</f>
        <v>3847.8409869773818</v>
      </c>
      <c r="D38" s="129">
        <f>'LEAP Region'!P6*1000</f>
        <v>4015.7642220699108</v>
      </c>
      <c r="E38" s="130">
        <f>'LEAP Region'!Q6*1000</f>
        <v>4370.8019191226867</v>
      </c>
      <c r="F38" s="184"/>
      <c r="G38" s="301" t="s">
        <v>97</v>
      </c>
      <c r="H38" s="301"/>
      <c r="I38" s="301"/>
      <c r="J38" s="301"/>
      <c r="K38" s="301"/>
      <c r="L38" s="301"/>
      <c r="M38" s="301"/>
      <c r="N38" s="301"/>
    </row>
    <row r="39" spans="2:34" ht="56.25" customHeight="1" x14ac:dyDescent="0.25">
      <c r="B39" s="128">
        <f>0.005*B38</f>
        <v>18.087731322823853</v>
      </c>
      <c r="C39" s="129">
        <f>B39-(($B$39-$E$39)/3)</f>
        <v>84.905186200594017</v>
      </c>
      <c r="D39" s="129">
        <f>C39-(($B$39-$E$39)/3)</f>
        <v>151.72264107836418</v>
      </c>
      <c r="E39" s="130">
        <f>0.05*E38</f>
        <v>218.54009595613434</v>
      </c>
      <c r="G39" s="301" t="s">
        <v>195</v>
      </c>
      <c r="H39" s="301"/>
      <c r="I39" s="301"/>
      <c r="J39" s="301"/>
      <c r="K39" s="301"/>
      <c r="L39" s="301"/>
      <c r="M39" s="301"/>
      <c r="N39" s="301"/>
      <c r="V39" s="21"/>
      <c r="W39" s="21"/>
      <c r="X39" s="21"/>
      <c r="Y39" s="21"/>
      <c r="AH39" s="21"/>
    </row>
    <row r="40" spans="2:34" ht="56.25" customHeight="1" x14ac:dyDescent="0.25">
      <c r="B40" s="142">
        <f>B39*(2.4-1)</f>
        <v>25.322823851953391</v>
      </c>
      <c r="C40" s="143">
        <f>C39*(2.6-1)</f>
        <v>135.84829792095044</v>
      </c>
      <c r="D40" s="143">
        <f>D39*(2.8-1)</f>
        <v>273.10075394105547</v>
      </c>
      <c r="E40" s="144">
        <f>E39*(3-1)</f>
        <v>437.08019191226867</v>
      </c>
      <c r="G40" s="301" t="s">
        <v>196</v>
      </c>
      <c r="H40" s="301"/>
      <c r="I40" s="301"/>
      <c r="J40" s="301"/>
      <c r="K40" s="301"/>
      <c r="L40" s="301"/>
      <c r="M40" s="301"/>
      <c r="N40" s="301"/>
      <c r="V40" s="21"/>
      <c r="W40" s="21"/>
      <c r="X40" s="21"/>
      <c r="Y40" s="21"/>
      <c r="AH40" s="21"/>
    </row>
    <row r="41" spans="2:34" ht="56.25" customHeight="1" x14ac:dyDescent="0.25">
      <c r="B41" s="128">
        <f>('LEAP Region'!T11-'LEAP Region'!T6)*1000</f>
        <v>4308.4304318026052</v>
      </c>
      <c r="C41" s="129">
        <f>('LEAP Region'!U11-'LEAP Region'!U6)*1000</f>
        <v>4006.1686086360523</v>
      </c>
      <c r="D41" s="129">
        <f>('LEAP Region'!V11-'LEAP Region'!V6)*1000</f>
        <v>3603.1528444139835</v>
      </c>
      <c r="E41" s="130">
        <f>('LEAP Region'!W11-'LEAP Region'!W6)*1000</f>
        <v>3022.6182316655245</v>
      </c>
      <c r="G41" s="301" t="s">
        <v>197</v>
      </c>
      <c r="H41" s="301"/>
      <c r="I41" s="301"/>
      <c r="J41" s="301"/>
      <c r="K41" s="301"/>
      <c r="L41" s="301"/>
      <c r="M41" s="301"/>
      <c r="N41" s="301"/>
      <c r="AH41" s="21"/>
    </row>
    <row r="42" spans="2:34" ht="56.25" customHeight="1" x14ac:dyDescent="0.25">
      <c r="B42" s="128">
        <f>'LEAP Region'!T6*1000</f>
        <v>3569.5681973954761</v>
      </c>
      <c r="C42" s="129">
        <f>'LEAP Region'!U6*1000</f>
        <v>3535.9835503769705</v>
      </c>
      <c r="D42" s="129">
        <f>'LEAP Region'!V6*1000</f>
        <v>3425.6339958875947</v>
      </c>
      <c r="E42" s="130">
        <f>'LEAP Region'!W6*1000</f>
        <v>3320.0822481151472</v>
      </c>
      <c r="G42" s="301" t="s">
        <v>98</v>
      </c>
      <c r="H42" s="301"/>
      <c r="I42" s="301"/>
      <c r="J42" s="301"/>
      <c r="K42" s="301"/>
      <c r="L42" s="301"/>
      <c r="M42" s="301"/>
      <c r="N42" s="301"/>
      <c r="V42" s="29"/>
      <c r="W42" s="29"/>
      <c r="X42" s="29"/>
      <c r="Y42" s="29"/>
      <c r="AH42" s="21"/>
    </row>
    <row r="43" spans="2:34" ht="56.25" customHeight="1" x14ac:dyDescent="0.25">
      <c r="B43" s="128">
        <f>B39</f>
        <v>18.087731322823853</v>
      </c>
      <c r="C43" s="129">
        <f>B43-(($B$43-$E$43)/3)</f>
        <v>101.89475287487626</v>
      </c>
      <c r="D43" s="129">
        <f>C43-(($B$43-$E$43)/3)</f>
        <v>185.70177442692867</v>
      </c>
      <c r="E43" s="130">
        <f>0.8*((E37+E39+E40-E41)/3)</f>
        <v>269.50879597898108</v>
      </c>
      <c r="G43" s="301" t="s">
        <v>142</v>
      </c>
      <c r="H43" s="301"/>
      <c r="I43" s="301"/>
      <c r="J43" s="301"/>
      <c r="K43" s="301"/>
      <c r="L43" s="301"/>
      <c r="M43" s="301"/>
      <c r="N43" s="301"/>
      <c r="AH43" s="21"/>
    </row>
    <row r="44" spans="2:34" ht="56.25" customHeight="1" x14ac:dyDescent="0.25">
      <c r="B44" s="128">
        <f>B43*(2.4-1)</f>
        <v>25.322823851953391</v>
      </c>
      <c r="C44" s="129">
        <f>C43*(2.6-1)</f>
        <v>163.03160459980202</v>
      </c>
      <c r="D44" s="129">
        <f>D43*(2.8-1)</f>
        <v>334.26319396847157</v>
      </c>
      <c r="E44" s="130">
        <f>E43*(3-1)</f>
        <v>539.01759195796217</v>
      </c>
      <c r="F44" s="21"/>
      <c r="G44" s="301" t="s">
        <v>96</v>
      </c>
      <c r="H44" s="301"/>
      <c r="I44" s="301"/>
      <c r="J44" s="301"/>
      <c r="K44" s="301"/>
      <c r="L44" s="301"/>
      <c r="M44" s="301"/>
      <c r="N44" s="301"/>
      <c r="R44">
        <v>33</v>
      </c>
      <c r="V44" s="21"/>
      <c r="W44" s="21"/>
      <c r="X44" s="21"/>
      <c r="Y44" s="21"/>
      <c r="AH44" s="21"/>
    </row>
    <row r="45" spans="2:34" ht="56.25" customHeight="1" x14ac:dyDescent="0.25">
      <c r="B45" s="128">
        <f>B37+B39+B40-B41-B43-B44</f>
        <v>14.393420150787104</v>
      </c>
      <c r="C45" s="129">
        <f>C37+C39+C40-C41-C43-C44</f>
        <v>61.378874419315281</v>
      </c>
      <c r="D45" s="129">
        <f>D37+D39+D40-D41-D43-D44</f>
        <v>106.36630873505294</v>
      </c>
      <c r="E45" s="130">
        <f>E37+E39+E40-E41-E43-E44</f>
        <v>202.13159698423567</v>
      </c>
      <c r="F45" s="92"/>
      <c r="G45" s="301" t="s">
        <v>149</v>
      </c>
      <c r="H45" s="301"/>
      <c r="I45" s="301"/>
      <c r="J45" s="301"/>
      <c r="K45" s="301"/>
      <c r="L45" s="301"/>
      <c r="M45" s="301"/>
      <c r="N45" s="301"/>
      <c r="R45">
        <v>6</v>
      </c>
      <c r="AH45" s="21"/>
    </row>
    <row r="46" spans="2:34" ht="56.25" customHeight="1" x14ac:dyDescent="0.25">
      <c r="B46" s="283">
        <f ca="1">0.2*'1.Current Heat'!B24</f>
        <v>76.887415786866342</v>
      </c>
      <c r="C46" s="284"/>
      <c r="D46" s="284"/>
      <c r="E46" s="285"/>
      <c r="G46" s="301" t="s">
        <v>127</v>
      </c>
      <c r="H46" s="301"/>
      <c r="I46" s="301"/>
      <c r="J46" s="301"/>
      <c r="K46" s="301"/>
      <c r="L46" s="301"/>
      <c r="M46" s="301"/>
      <c r="N46" s="301"/>
      <c r="R46">
        <f>R45/R44</f>
        <v>0.18181818181818182</v>
      </c>
      <c r="AH46" s="21"/>
    </row>
    <row r="47" spans="2:34" ht="56.25" customHeight="1" x14ac:dyDescent="0.25">
      <c r="B47" s="128">
        <f ca="1">B45/$B$46</f>
        <v>0.18720124747963945</v>
      </c>
      <c r="C47" s="129">
        <f ca="1">C45/$B$46</f>
        <v>0.79829545304863558</v>
      </c>
      <c r="D47" s="129">
        <f ca="1">D45/$B$46</f>
        <v>1.3834033521155498</v>
      </c>
      <c r="E47" s="130">
        <f ca="1">E45/$B$46</f>
        <v>2.6289295187726043</v>
      </c>
      <c r="G47" s="301" t="s">
        <v>128</v>
      </c>
      <c r="H47" s="301"/>
      <c r="I47" s="301"/>
      <c r="J47" s="301"/>
      <c r="K47" s="301"/>
      <c r="L47" s="301"/>
      <c r="M47" s="301"/>
      <c r="N47" s="301"/>
    </row>
    <row r="48" spans="2:34" ht="56.25" customHeight="1" x14ac:dyDescent="0.25">
      <c r="B48" s="131">
        <f ca="1">'1.Current Heat'!B22</f>
        <v>7</v>
      </c>
      <c r="C48" s="132">
        <f t="shared" ref="C48:E48" ca="1" si="1">B48*1.06</f>
        <v>7.42</v>
      </c>
      <c r="D48" s="132">
        <f t="shared" ca="1" si="1"/>
        <v>7.8652000000000006</v>
      </c>
      <c r="E48" s="133">
        <f t="shared" ca="1" si="1"/>
        <v>8.3371120000000012</v>
      </c>
      <c r="G48" s="301" t="s">
        <v>194</v>
      </c>
      <c r="H48" s="301"/>
      <c r="I48" s="301"/>
      <c r="J48" s="301"/>
      <c r="K48" s="301"/>
      <c r="L48" s="301"/>
      <c r="M48" s="301"/>
      <c r="N48" s="301"/>
      <c r="O48" s="186">
        <f ca="1">(E48/B48)^(1/(E36-B36))-1</f>
        <v>5.006971033976404E-3</v>
      </c>
    </row>
    <row r="49" spans="1:14" ht="56.25" customHeight="1" x14ac:dyDescent="0.25">
      <c r="B49" s="134">
        <f ca="1">B47/B48</f>
        <v>2.6743035354234206E-2</v>
      </c>
      <c r="C49" s="135">
        <f ca="1">C47/C48</f>
        <v>0.10758698828148727</v>
      </c>
      <c r="D49" s="135">
        <f ca="1">D47/D48</f>
        <v>0.17588915121237217</v>
      </c>
      <c r="E49" s="136">
        <f ca="1">E47/E48</f>
        <v>0.3153285596706154</v>
      </c>
      <c r="G49" s="301" t="s">
        <v>182</v>
      </c>
      <c r="H49" s="301"/>
      <c r="I49" s="301"/>
      <c r="J49" s="301"/>
      <c r="K49" s="301"/>
      <c r="L49" s="301"/>
      <c r="M49" s="301"/>
      <c r="N49" s="30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128.80000000000001</v>
      </c>
      <c r="C54" s="147">
        <f>C32*($B$54-$B$29)+(1-C32)*$B$54</f>
        <v>122.06934159415864</v>
      </c>
      <c r="D54" s="147">
        <f>D32*($B$54-$B$29)+(1-D32)*$B$54</f>
        <v>117.75088162011511</v>
      </c>
      <c r="E54" s="148">
        <f>E32*($B$54-$B$29)+(1-E32)*$B$54</f>
        <v>117.65554996358057</v>
      </c>
      <c r="F54" s="1"/>
      <c r="G54" s="301" t="s">
        <v>109</v>
      </c>
      <c r="H54" s="301"/>
      <c r="I54" s="301"/>
      <c r="J54" s="301"/>
      <c r="K54" s="301"/>
      <c r="L54" s="301"/>
      <c r="M54" s="301"/>
      <c r="N54" s="301"/>
    </row>
    <row r="55" spans="1:14" ht="56.25" customHeight="1" x14ac:dyDescent="0.25">
      <c r="B55" s="149">
        <f>('LEAP Region'!H4+'LEAP Region'!H9+'LEAP Region'!H12)*1000</f>
        <v>15134.139534883723</v>
      </c>
      <c r="C55" s="150">
        <f>('LEAP Region'!I4+'LEAP Region'!I9+'LEAP Region'!I12)*1000</f>
        <v>10986.325581395351</v>
      </c>
      <c r="D55" s="150">
        <f>('LEAP Region'!J4+'LEAP Region'!J9+'LEAP Region'!J12)*1000</f>
        <v>6987.5348837209312</v>
      </c>
      <c r="E55" s="151">
        <f>('LEAP Region'!K4+'LEAP Region'!K9+'LEAP Region'!K12)*1000</f>
        <v>1051.4418604651164</v>
      </c>
      <c r="G55" s="301" t="s">
        <v>110</v>
      </c>
      <c r="H55" s="301"/>
      <c r="I55" s="301"/>
      <c r="J55" s="301"/>
      <c r="K55" s="301"/>
      <c r="L55" s="301"/>
      <c r="M55" s="301"/>
      <c r="N55" s="301"/>
    </row>
    <row r="56" spans="1:14" ht="56.25" customHeight="1" x14ac:dyDescent="0.25">
      <c r="B56" s="152">
        <f>'LEAP Region'!H4*1000/'2.Heat Targets'!B55</f>
        <v>7.6586433260393879E-3</v>
      </c>
      <c r="C56" s="153">
        <f>'LEAP Region'!I4*1000/'2.Heat Targets'!C55</f>
        <v>3.7678975131876409E-2</v>
      </c>
      <c r="D56" s="153">
        <f>'LEAP Region'!J4*1000/'2.Heat Targets'!D55</f>
        <v>9.7156398104265393E-2</v>
      </c>
      <c r="E56" s="154">
        <f>'LEAP Region'!K4*1000/'2.Heat Targets'!E55</f>
        <v>1</v>
      </c>
      <c r="G56" s="301" t="s">
        <v>137</v>
      </c>
      <c r="H56" s="301"/>
      <c r="I56" s="301"/>
      <c r="J56" s="301"/>
      <c r="K56" s="301"/>
      <c r="L56" s="301"/>
      <c r="M56" s="301"/>
      <c r="N56" s="301"/>
    </row>
    <row r="57" spans="1:14" ht="56.25" customHeight="1" x14ac:dyDescent="0.25">
      <c r="B57" s="128">
        <f>B55/B54</f>
        <v>117.50108334537052</v>
      </c>
      <c r="C57" s="129">
        <f>C55/C54</f>
        <v>90.000694997777202</v>
      </c>
      <c r="D57" s="129">
        <f>D55/D54</f>
        <v>59.341677850565382</v>
      </c>
      <c r="E57" s="130">
        <f>E55/E54</f>
        <v>8.9366108168342482</v>
      </c>
      <c r="G57" s="301" t="s">
        <v>111</v>
      </c>
      <c r="H57" s="301"/>
      <c r="I57" s="301"/>
      <c r="J57" s="301"/>
      <c r="K57" s="301"/>
      <c r="L57" s="301"/>
      <c r="M57" s="301"/>
      <c r="N57" s="301"/>
    </row>
    <row r="58" spans="1:14" ht="56.25" customHeight="1" x14ac:dyDescent="0.25">
      <c r="B58" s="134">
        <f>B57/B31</f>
        <v>0.54147964675285953</v>
      </c>
      <c r="C58" s="135">
        <f>C57/C31</f>
        <v>0.3912733457863542</v>
      </c>
      <c r="D58" s="135">
        <f>D57/D31</f>
        <v>0.24338194484550718</v>
      </c>
      <c r="E58" s="136">
        <f>E57/E31</f>
        <v>3.4577653303083336E-2</v>
      </c>
      <c r="G58" s="301" t="s">
        <v>130</v>
      </c>
      <c r="H58" s="301"/>
      <c r="I58" s="301"/>
      <c r="J58" s="301"/>
      <c r="K58" s="301"/>
      <c r="L58" s="301"/>
      <c r="M58" s="301"/>
      <c r="N58" s="301"/>
    </row>
    <row r="59" spans="1:14" ht="56.25" customHeight="1" x14ac:dyDescent="0.25">
      <c r="B59" s="149">
        <f>('LEAP Region'!H5+'LEAP Region'!H13)*1000</f>
        <v>18006.976744186049</v>
      </c>
      <c r="C59" s="150">
        <f>('LEAP Region'!I5+'LEAP Region'!I13)*1000</f>
        <v>15092.744186046513</v>
      </c>
      <c r="D59" s="150">
        <f>('LEAP Region'!J5+'LEAP Region'!J13)*1000</f>
        <v>11963.255813953492</v>
      </c>
      <c r="E59" s="151">
        <f>('LEAP Region'!K5+'LEAP Region'!K13)*1000</f>
        <v>8659.906976744187</v>
      </c>
      <c r="G59" s="301" t="s">
        <v>112</v>
      </c>
      <c r="H59" s="301"/>
      <c r="I59" s="301"/>
      <c r="J59" s="301"/>
      <c r="K59" s="301"/>
      <c r="L59" s="301"/>
      <c r="M59" s="301"/>
      <c r="N59" s="301"/>
    </row>
    <row r="60" spans="1:14" ht="56.25" customHeight="1" x14ac:dyDescent="0.25">
      <c r="A60" s="2"/>
      <c r="B60" s="128">
        <f>B59/B54</f>
        <v>139.80572006355627</v>
      </c>
      <c r="C60" s="129">
        <f>C59/C54</f>
        <v>123.64074376861178</v>
      </c>
      <c r="D60" s="129">
        <f>D59/D54</f>
        <v>101.59801480339691</v>
      </c>
      <c r="E60" s="130">
        <f>E59/E54</f>
        <v>73.603896963847433</v>
      </c>
      <c r="G60" s="301" t="s">
        <v>140</v>
      </c>
      <c r="H60" s="301"/>
      <c r="I60" s="301"/>
      <c r="J60" s="301"/>
      <c r="K60" s="301"/>
      <c r="L60" s="301"/>
      <c r="M60" s="301"/>
      <c r="N60" s="301"/>
    </row>
    <row r="61" spans="1:14" ht="56.25" customHeight="1" x14ac:dyDescent="0.25">
      <c r="B61" s="134">
        <f>B60/B31</f>
        <v>0.64426599107629612</v>
      </c>
      <c r="C61" s="135">
        <f>C60/C31</f>
        <v>0.53752171014960337</v>
      </c>
      <c r="D61" s="135">
        <f>D60/D31</f>
        <v>0.41669065201630084</v>
      </c>
      <c r="E61" s="136">
        <f>E60/E31</f>
        <v>0.2847891760238202</v>
      </c>
      <c r="G61" s="301" t="s">
        <v>131</v>
      </c>
      <c r="H61" s="301"/>
      <c r="I61" s="301"/>
      <c r="J61" s="301"/>
      <c r="K61" s="301"/>
      <c r="L61" s="301"/>
      <c r="M61" s="301"/>
      <c r="N61" s="301"/>
    </row>
    <row r="62" spans="1:14" ht="56.25" customHeight="1" x14ac:dyDescent="0.25">
      <c r="B62" s="149">
        <f>('LEAP Region'!H7+'LEAP Region'!H8)*1000</f>
        <v>322.88372093023258</v>
      </c>
      <c r="C62" s="150">
        <f>('LEAP Region'!I7+'LEAP Region'!I8)*1000</f>
        <v>1291.5348837209303</v>
      </c>
      <c r="D62" s="150">
        <f>('LEAP Region'!J7+'LEAP Region'!J8)*1000</f>
        <v>2607.9069767441861</v>
      </c>
      <c r="E62" s="151">
        <f>('LEAP Region'!K7+'LEAP Region'!K8)*1000</f>
        <v>3278.5116279069775</v>
      </c>
      <c r="G62" s="301" t="s">
        <v>113</v>
      </c>
      <c r="H62" s="301"/>
      <c r="I62" s="301"/>
      <c r="J62" s="301"/>
      <c r="K62" s="301"/>
      <c r="L62" s="301"/>
      <c r="M62" s="301"/>
      <c r="N62" s="301"/>
    </row>
    <row r="63" spans="1:14" ht="56.25" customHeight="1" x14ac:dyDescent="0.25">
      <c r="B63" s="128">
        <f>B62/((0.7*B54)/2.4)</f>
        <v>8.5949526423309468</v>
      </c>
      <c r="C63" s="129">
        <f>C62/((0.75*C54)/2.6)</f>
        <v>36.678504788845444</v>
      </c>
      <c r="D63" s="129">
        <f>D62/((0.8*D54)/2.8)</f>
        <v>77.51682444342218</v>
      </c>
      <c r="E63" s="130">
        <f>E62/((0.85*E54)/3)</f>
        <v>98.348250582668712</v>
      </c>
      <c r="F63" s="91"/>
      <c r="G63" s="301" t="s">
        <v>180</v>
      </c>
      <c r="H63" s="301"/>
      <c r="I63" s="301"/>
      <c r="J63" s="301"/>
      <c r="K63" s="301"/>
      <c r="L63" s="301"/>
      <c r="M63" s="301"/>
      <c r="N63" s="301"/>
    </row>
    <row r="64" spans="1:14" ht="56.25" customHeight="1" x14ac:dyDescent="0.25">
      <c r="B64" s="134">
        <f>B63/B31</f>
        <v>3.9608076692769341E-2</v>
      </c>
      <c r="C64" s="135">
        <f>C63/C31</f>
        <v>0.15945789404767169</v>
      </c>
      <c r="D64" s="135">
        <f>D63/D31</f>
        <v>0.31792487463527441</v>
      </c>
      <c r="E64" s="136">
        <f>E63/E31</f>
        <v>0.3805303577958592</v>
      </c>
      <c r="G64" s="301" t="s">
        <v>114</v>
      </c>
      <c r="H64" s="301"/>
      <c r="I64" s="301"/>
      <c r="J64" s="301"/>
      <c r="K64" s="301"/>
      <c r="L64" s="301"/>
      <c r="M64" s="301"/>
      <c r="N64" s="301"/>
    </row>
    <row r="65" spans="1:20" ht="56.25" customHeight="1" x14ac:dyDescent="0.25">
      <c r="B65" s="149">
        <f>('LEAP Region'!H10+'LEAP Region'!H11)*1000</f>
        <v>5853.3023255813969</v>
      </c>
      <c r="C65" s="150">
        <f>('LEAP Region'!I10+'LEAP Region'!I11)*1000</f>
        <v>4578.3255813953492</v>
      </c>
      <c r="D65" s="150">
        <f>('LEAP Region'!J10+'LEAP Region'!J11)*1000</f>
        <v>2930.7906976744193</v>
      </c>
      <c r="E65" s="151">
        <f>('LEAP Region'!K10+'LEAP Region'!K11)*1000</f>
        <v>1026.6046511627908</v>
      </c>
      <c r="G65" s="301" t="s">
        <v>115</v>
      </c>
      <c r="H65" s="301"/>
      <c r="I65" s="301"/>
      <c r="J65" s="301"/>
      <c r="K65" s="301"/>
      <c r="L65" s="301"/>
      <c r="M65" s="301"/>
      <c r="N65" s="301"/>
    </row>
    <row r="66" spans="1:20" ht="56.25" customHeight="1" x14ac:dyDescent="0.25">
      <c r="B66" s="128">
        <f>B65/B54</f>
        <v>45.444893832153696</v>
      </c>
      <c r="C66" s="129">
        <f>C65/C54</f>
        <v>37.505941472321624</v>
      </c>
      <c r="D66" s="129">
        <f>D65/D54</f>
        <v>24.889755875711074</v>
      </c>
      <c r="E66" s="130">
        <f>E65/E54</f>
        <v>8.7255097739169027</v>
      </c>
      <c r="G66" s="301" t="s">
        <v>146</v>
      </c>
      <c r="H66" s="301"/>
      <c r="I66" s="301"/>
      <c r="J66" s="301"/>
      <c r="K66" s="301"/>
      <c r="L66" s="301"/>
      <c r="M66" s="301"/>
      <c r="N66" s="301"/>
    </row>
    <row r="67" spans="1:20" ht="56.25" customHeight="1" x14ac:dyDescent="0.25">
      <c r="A67" s="21"/>
      <c r="B67" s="134">
        <f>B66/B31</f>
        <v>0.20942347388089261</v>
      </c>
      <c r="C67" s="135">
        <f>C66/C31</f>
        <v>0.16305513204209035</v>
      </c>
      <c r="D67" s="135">
        <f>D66/D31</f>
        <v>0.10208200056316297</v>
      </c>
      <c r="E67" s="136">
        <f>E66/E31</f>
        <v>3.3760858343167978E-2</v>
      </c>
      <c r="G67" s="301" t="s">
        <v>116</v>
      </c>
      <c r="H67" s="301"/>
      <c r="I67" s="301"/>
      <c r="J67" s="301"/>
      <c r="K67" s="301"/>
      <c r="L67" s="301"/>
      <c r="M67" s="301"/>
      <c r="N67" s="30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384.43707893433168</v>
      </c>
      <c r="C72" s="156">
        <f ca="1">C49*($B$72-$B$46)+(1-C49)*$B$72</f>
        <v>376.16499343307629</v>
      </c>
      <c r="D72" s="156">
        <f ca="1">D49*($B$72-$B$46)+(1-D49)*$B$72</f>
        <v>370.91341663266701</v>
      </c>
      <c r="E72" s="157">
        <f ca="1">E49*($B$72-$B$46)+(1-E49)*$B$72</f>
        <v>360.1922808574634</v>
      </c>
      <c r="G72" s="302" t="s">
        <v>134</v>
      </c>
      <c r="H72" s="302"/>
      <c r="I72" s="302"/>
      <c r="J72" s="302"/>
      <c r="K72" s="302"/>
      <c r="L72" s="302"/>
      <c r="M72" s="302"/>
      <c r="N72" s="302"/>
    </row>
    <row r="73" spans="1:20" ht="56.25" customHeight="1" x14ac:dyDescent="0.25">
      <c r="B73" s="149">
        <f>('LEAP Region'!T4+'LEAP Region'!T5+'LEAP Region'!T9)*1000</f>
        <v>2197.3954763536672</v>
      </c>
      <c r="C73" s="150">
        <f>('LEAP Region'!U4+'LEAP Region'!U5+'LEAP Region'!U9)*1000</f>
        <v>1842.357779300891</v>
      </c>
      <c r="D73" s="150">
        <f>('LEAP Region'!V4+'LEAP Region'!V5+'LEAP Region'!V9)*1000</f>
        <v>1429.7464016449624</v>
      </c>
      <c r="E73" s="151">
        <f>('LEAP Region'!W4+'LEAP Region'!W5+'LEAP Region'!W9)*1000</f>
        <v>791.63810829335171</v>
      </c>
      <c r="G73" s="301" t="s">
        <v>133</v>
      </c>
      <c r="H73" s="301"/>
      <c r="I73" s="301"/>
      <c r="J73" s="301"/>
      <c r="K73" s="301"/>
      <c r="L73" s="301"/>
      <c r="M73" s="301"/>
      <c r="N73" s="301"/>
    </row>
    <row r="74" spans="1:20" ht="56.25" customHeight="1" x14ac:dyDescent="0.25">
      <c r="B74" s="158">
        <f ca="1">com_share_state_target*'LEAP Statewide'!T4*1000/'2.Heat Targets'!B73</f>
        <v>6.4109909122242216E-3</v>
      </c>
      <c r="C74" s="145">
        <f ca="1">com_share_state_target*'LEAP Statewide'!U4*1000/'2.Heat Targets'!C73</f>
        <v>4.7808823613024846E-2</v>
      </c>
      <c r="D74" s="145">
        <f ca="1">com_share_state_target*'LEAP Statewide'!V4*1000/'2.Heat Targets'!D73</f>
        <v>0.11558299780153358</v>
      </c>
      <c r="E74" s="159">
        <f ca="1">com_share_state_target*'LEAP Statewide'!W4*1000/'2.Heat Targets'!E73</f>
        <v>0.37119731688793717</v>
      </c>
      <c r="G74" s="301" t="s">
        <v>136</v>
      </c>
      <c r="H74" s="301"/>
      <c r="I74" s="301"/>
      <c r="J74" s="301"/>
      <c r="K74" s="301"/>
      <c r="L74" s="301"/>
      <c r="M74" s="301"/>
      <c r="N74" s="301"/>
    </row>
    <row r="75" spans="1:20" ht="56.25" customHeight="1" x14ac:dyDescent="0.25">
      <c r="B75" s="128">
        <f ca="1">B73/B72</f>
        <v>5.7158780897120991</v>
      </c>
      <c r="C75" s="129">
        <f ca="1">C73/C72</f>
        <v>4.8977385228927899</v>
      </c>
      <c r="D75" s="129">
        <f ca="1">D73/D72</f>
        <v>3.8546634808330684</v>
      </c>
      <c r="E75" s="130">
        <f ca="1">E73/E72</f>
        <v>2.1978208594831647</v>
      </c>
      <c r="G75" s="301" t="s">
        <v>135</v>
      </c>
      <c r="H75" s="301"/>
      <c r="I75" s="301"/>
      <c r="J75" s="301"/>
      <c r="K75" s="301"/>
      <c r="L75" s="301"/>
      <c r="M75" s="301"/>
      <c r="N75" s="301"/>
    </row>
    <row r="76" spans="1:20" ht="56.25" customHeight="1" x14ac:dyDescent="0.25">
      <c r="B76" s="134">
        <f ca="1">B75/B48</f>
        <v>0.81655401281601414</v>
      </c>
      <c r="C76" s="135">
        <f ca="1">C75/C48</f>
        <v>0.66007257720927093</v>
      </c>
      <c r="D76" s="135">
        <f ca="1">D75/D48</f>
        <v>0.49009096791347556</v>
      </c>
      <c r="E76" s="136">
        <f ca="1">E75/E48</f>
        <v>0.26361896775324173</v>
      </c>
      <c r="G76" s="301" t="s">
        <v>181</v>
      </c>
      <c r="H76" s="301"/>
      <c r="I76" s="301"/>
      <c r="J76" s="301"/>
      <c r="K76" s="301"/>
      <c r="L76" s="301"/>
      <c r="M76" s="301"/>
      <c r="N76" s="301"/>
    </row>
    <row r="77" spans="1:20" ht="56.25" customHeight="1" x14ac:dyDescent="0.25">
      <c r="B77" s="128">
        <f>'LEAP Region'!T10*1000</f>
        <v>676.49074708704597</v>
      </c>
      <c r="C77" s="129">
        <f>'LEAP Region'!U10*1000</f>
        <v>925.97669636737487</v>
      </c>
      <c r="D77" s="129">
        <f>'LEAP Region'!V10*1000</f>
        <v>1170.6648389307745</v>
      </c>
      <c r="E77" s="130">
        <f>'LEAP Region'!W10*1000</f>
        <v>1592.8718300205619</v>
      </c>
      <c r="G77" s="301" t="s">
        <v>138</v>
      </c>
      <c r="H77" s="301"/>
      <c r="I77" s="301"/>
      <c r="J77" s="301"/>
      <c r="K77" s="301"/>
      <c r="L77" s="301"/>
      <c r="M77" s="301"/>
      <c r="N77" s="301"/>
    </row>
    <row r="78" spans="1:20" ht="56.25" customHeight="1" x14ac:dyDescent="0.25">
      <c r="B78" s="128">
        <f ca="1">B77/B72</f>
        <v>1.7596917263087466</v>
      </c>
      <c r="C78" s="129">
        <f ca="1">C77/C72</f>
        <v>2.4616237888497614</v>
      </c>
      <c r="D78" s="129">
        <f ca="1">D77/D72</f>
        <v>3.1561674138364721</v>
      </c>
      <c r="E78" s="130">
        <f ca="1">E77/E72</f>
        <v>4.4222819718085491</v>
      </c>
      <c r="G78" s="301" t="s">
        <v>139</v>
      </c>
      <c r="H78" s="301"/>
      <c r="I78" s="301"/>
      <c r="J78" s="301"/>
      <c r="K78" s="301"/>
      <c r="L78" s="301"/>
      <c r="M78" s="301"/>
      <c r="N78" s="301"/>
    </row>
    <row r="79" spans="1:20" ht="56.25" customHeight="1" x14ac:dyDescent="0.25">
      <c r="B79" s="134">
        <f ca="1">B78/B48</f>
        <v>0.25138453232982094</v>
      </c>
      <c r="C79" s="135">
        <f ca="1">C78/C48</f>
        <v>0.33175522760778459</v>
      </c>
      <c r="D79" s="135">
        <f ca="1">D78/D48</f>
        <v>0.40128253748620146</v>
      </c>
      <c r="E79" s="136">
        <f ca="1">E78/E48</f>
        <v>0.53043331693379536</v>
      </c>
      <c r="G79" s="301" t="s">
        <v>141</v>
      </c>
      <c r="H79" s="301"/>
      <c r="I79" s="301"/>
      <c r="J79" s="301"/>
      <c r="K79" s="301"/>
      <c r="L79" s="301"/>
      <c r="M79" s="301"/>
      <c r="N79" s="301"/>
    </row>
    <row r="80" spans="1:20" ht="56.25" customHeight="1" x14ac:dyDescent="0.25">
      <c r="B80" s="149">
        <f>B43</f>
        <v>18.087731322823853</v>
      </c>
      <c r="C80" s="150">
        <f>C43</f>
        <v>101.89475287487626</v>
      </c>
      <c r="D80" s="150">
        <f>D43</f>
        <v>185.70177442692867</v>
      </c>
      <c r="E80" s="151">
        <f>E43</f>
        <v>269.50879597898108</v>
      </c>
      <c r="G80" s="301" t="s">
        <v>142</v>
      </c>
      <c r="H80" s="301"/>
      <c r="I80" s="301"/>
      <c r="J80" s="301"/>
      <c r="K80" s="301"/>
      <c r="L80" s="301"/>
      <c r="M80" s="301"/>
      <c r="N80" s="301"/>
    </row>
    <row r="81" spans="2:14" ht="56.25" customHeight="1" x14ac:dyDescent="0.25">
      <c r="B81" s="128">
        <f ca="1">B80/((0.7*B72)/2.4)</f>
        <v>0.16131398925675317</v>
      </c>
      <c r="C81" s="129">
        <f ca="1">C80/((0.75*C72)/2.6)</f>
        <v>0.93904310466469632</v>
      </c>
      <c r="D81" s="129">
        <f ca="1">D80/((0.8*D72)/2.8)</f>
        <v>1.7523124841233024</v>
      </c>
      <c r="E81" s="130">
        <f ca="1">E80/((0.85*E72)/3)</f>
        <v>2.6408325935123211</v>
      </c>
      <c r="G81" s="301" t="s">
        <v>143</v>
      </c>
      <c r="H81" s="301"/>
      <c r="I81" s="301"/>
      <c r="J81" s="301"/>
      <c r="K81" s="301"/>
      <c r="L81" s="301"/>
      <c r="M81" s="301"/>
      <c r="N81" s="301"/>
    </row>
    <row r="82" spans="2:14" ht="56.25" customHeight="1" x14ac:dyDescent="0.25">
      <c r="B82" s="134">
        <f ca="1">B81/B48</f>
        <v>2.3044855608107595E-2</v>
      </c>
      <c r="C82" s="135">
        <f ca="1">C81/C48</f>
        <v>0.12655567448311272</v>
      </c>
      <c r="D82" s="135">
        <f ca="1">D81/D48</f>
        <v>0.22279312466603549</v>
      </c>
      <c r="E82" s="136">
        <f ca="1">E81/E48</f>
        <v>0.31675628125330701</v>
      </c>
      <c r="G82" s="301" t="s">
        <v>144</v>
      </c>
      <c r="H82" s="301"/>
      <c r="I82" s="301"/>
      <c r="J82" s="301"/>
      <c r="K82" s="301"/>
      <c r="L82" s="301"/>
      <c r="M82" s="301"/>
      <c r="N82" s="301"/>
    </row>
    <row r="83" spans="2:14" ht="56.25" customHeight="1" x14ac:dyDescent="0.25">
      <c r="B83" s="149">
        <f>('LEAP Region'!T7+'LEAP Region'!T8)*1000</f>
        <v>1434.5442083618918</v>
      </c>
      <c r="C83" s="150">
        <f>('LEAP Region'!U7+'LEAP Region'!U8)*1000</f>
        <v>1237.8341329677862</v>
      </c>
      <c r="D83" s="150">
        <f>('LEAP Region'!V7+'LEAP Region'!V8)*1000</f>
        <v>1002.7416038382453</v>
      </c>
      <c r="E83" s="151">
        <f>('LEAP Region'!W7+'LEAP Region'!W8)*1000</f>
        <v>638.10829335161066</v>
      </c>
      <c r="G83" s="301" t="s">
        <v>145</v>
      </c>
      <c r="H83" s="301"/>
      <c r="I83" s="301"/>
      <c r="J83" s="301"/>
      <c r="K83" s="301"/>
      <c r="L83" s="301"/>
      <c r="M83" s="301"/>
      <c r="N83" s="301"/>
    </row>
    <row r="84" spans="2:14" ht="56.25" customHeight="1" x14ac:dyDescent="0.25">
      <c r="B84" s="128">
        <f ca="1">B83/B72</f>
        <v>3.7315448664277677</v>
      </c>
      <c r="C84" s="129">
        <f ca="1">C83/C72</f>
        <v>3.2906680700685933</v>
      </c>
      <c r="D84" s="129">
        <f ca="1">D83/D72</f>
        <v>2.7034384815238632</v>
      </c>
      <c r="E84" s="130">
        <f ca="1">E83/E72</f>
        <v>1.7715768140076416</v>
      </c>
      <c r="G84" s="301" t="s">
        <v>147</v>
      </c>
      <c r="H84" s="301"/>
      <c r="I84" s="301"/>
      <c r="J84" s="301"/>
      <c r="K84" s="301"/>
      <c r="L84" s="301"/>
      <c r="M84" s="301"/>
      <c r="N84" s="301"/>
    </row>
    <row r="85" spans="2:14" ht="56.25" customHeight="1" x14ac:dyDescent="0.25">
      <c r="B85" s="134">
        <f ca="1">B84/B48</f>
        <v>0.53307783806110964</v>
      </c>
      <c r="C85" s="135">
        <f ca="1">C84/C48</f>
        <v>0.44348626281247888</v>
      </c>
      <c r="D85" s="135">
        <f ca="1">D84/D48</f>
        <v>0.34372151776482007</v>
      </c>
      <c r="E85" s="136">
        <f ca="1">E84/E48</f>
        <v>0.21249286491624933</v>
      </c>
      <c r="G85" s="301" t="s">
        <v>148</v>
      </c>
      <c r="H85" s="301"/>
      <c r="I85" s="301"/>
      <c r="J85" s="301"/>
      <c r="K85" s="301"/>
      <c r="L85" s="301"/>
      <c r="M85" s="301"/>
      <c r="N85" s="301"/>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5" zoomScale="70" zoomScaleNormal="70" workbookViewId="0">
      <selection activeCell="C26" sqref="C26"/>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6" t="s">
        <v>504</v>
      </c>
      <c r="C4" s="287"/>
      <c r="D4" s="287"/>
      <c r="E4" s="287"/>
      <c r="F4" s="287"/>
      <c r="G4" s="287"/>
      <c r="H4" s="287"/>
      <c r="I4" s="287"/>
      <c r="J4" s="287"/>
      <c r="K4" s="287"/>
      <c r="L4" s="287"/>
      <c r="M4" s="287"/>
      <c r="N4" s="288"/>
    </row>
    <row r="5" spans="2:15" ht="22.5" customHeight="1" x14ac:dyDescent="0.25">
      <c r="B5" s="289"/>
      <c r="C5" s="290"/>
      <c r="D5" s="290"/>
      <c r="E5" s="290"/>
      <c r="F5" s="290"/>
      <c r="G5" s="290"/>
      <c r="H5" s="290"/>
      <c r="I5" s="290"/>
      <c r="J5" s="290"/>
      <c r="K5" s="290"/>
      <c r="L5" s="290"/>
      <c r="M5" s="290"/>
      <c r="N5" s="291"/>
    </row>
    <row r="6" spans="2:15" ht="22.5" customHeight="1" x14ac:dyDescent="0.25">
      <c r="B6" s="292"/>
      <c r="C6" s="293"/>
      <c r="D6" s="293"/>
      <c r="E6" s="293"/>
      <c r="F6" s="293"/>
      <c r="G6" s="293"/>
      <c r="H6" s="293"/>
      <c r="I6" s="293"/>
      <c r="J6" s="293"/>
      <c r="K6" s="293"/>
      <c r="L6" s="293"/>
      <c r="M6" s="293"/>
      <c r="N6" s="294"/>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5" t="s">
        <v>151</v>
      </c>
      <c r="N11" s="296"/>
      <c r="O11" s="297"/>
    </row>
    <row r="12" spans="2:15" x14ac:dyDescent="0.25">
      <c r="B12" s="1">
        <v>100</v>
      </c>
      <c r="C12" s="2" t="s">
        <v>103</v>
      </c>
      <c r="D12" s="2"/>
      <c r="E12" s="2"/>
      <c r="F12" s="2"/>
      <c r="G12" s="2"/>
      <c r="H12" s="2"/>
      <c r="I12" s="2"/>
      <c r="J12" s="2"/>
      <c r="K12" s="3"/>
      <c r="M12" s="298"/>
      <c r="N12" s="299"/>
      <c r="O12" s="300"/>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24.837209302325586</v>
      </c>
      <c r="C18" s="129">
        <f>'LEAP Region'!I26*1000</f>
        <v>678.88372093023258</v>
      </c>
      <c r="D18" s="129">
        <f>'LEAP Region'!J26*1000</f>
        <v>1970.4186046511632</v>
      </c>
      <c r="E18" s="130">
        <f>'LEAP Region'!K26*1000</f>
        <v>3816.6511627906984</v>
      </c>
      <c r="G18" s="301" t="s">
        <v>474</v>
      </c>
      <c r="H18" s="301"/>
      <c r="I18" s="301"/>
      <c r="J18" s="301"/>
      <c r="K18" s="301"/>
      <c r="L18" s="301"/>
      <c r="M18" s="301"/>
      <c r="N18" s="30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301" t="s">
        <v>190</v>
      </c>
      <c r="H19" s="301"/>
      <c r="I19" s="301"/>
      <c r="J19" s="301"/>
      <c r="K19" s="301"/>
      <c r="L19" s="301"/>
      <c r="M19" s="301"/>
      <c r="N19" s="301"/>
      <c r="V19" t="s">
        <v>547</v>
      </c>
    </row>
    <row r="20" spans="2:22" ht="54.75" customHeight="1" x14ac:dyDescent="0.25">
      <c r="B20" s="128">
        <f>IF($F$22="adj",'1.Current Trans'!$O$13*B18/B19,B18/B19)</f>
        <v>1.7470487199760085</v>
      </c>
      <c r="C20" s="129">
        <f>IF($F$22="adj",'1.Current Trans'!$O$13*C18/C19,C18/C19)</f>
        <v>52.093816377466425</v>
      </c>
      <c r="D20" s="129">
        <f>IF($F$22="adj",'1.Current Trans'!$O$13*D18/D19,D18/D19)</f>
        <v>166.31903814171602</v>
      </c>
      <c r="E20" s="130">
        <f>IF($F$22="adj",'1.Current Trans'!$O$13*E18/E19,E18/E19)</f>
        <v>357.95087107063995</v>
      </c>
      <c r="G20" s="301" t="s">
        <v>106</v>
      </c>
      <c r="H20" s="301"/>
      <c r="I20" s="301"/>
      <c r="J20" s="301"/>
      <c r="K20" s="301"/>
      <c r="L20" s="301"/>
      <c r="M20" s="301"/>
      <c r="N20" s="301"/>
    </row>
    <row r="21" spans="2:22" ht="54.75" customHeight="1" x14ac:dyDescent="0.25">
      <c r="B21" s="131">
        <f>'1.Current Trans'!B9+'1.Current Trans'!B32</f>
        <v>452</v>
      </c>
      <c r="C21" s="132">
        <f t="shared" ref="C21:E21" si="0">B21*1.125</f>
        <v>508.5</v>
      </c>
      <c r="D21" s="132">
        <f t="shared" si="0"/>
        <v>572.0625</v>
      </c>
      <c r="E21" s="133">
        <f t="shared" si="0"/>
        <v>643.5703125</v>
      </c>
      <c r="G21" s="301" t="s">
        <v>189</v>
      </c>
      <c r="H21" s="301"/>
      <c r="I21" s="301"/>
      <c r="J21" s="301"/>
      <c r="K21" s="301"/>
      <c r="L21" s="301"/>
      <c r="M21" s="301"/>
      <c r="N21" s="301"/>
      <c r="O21" s="186">
        <f>(E21/B21)^(1/(E17-B17))-1</f>
        <v>1.014682216717655E-2</v>
      </c>
    </row>
    <row r="22" spans="2:22" ht="54.75" customHeight="1" x14ac:dyDescent="0.25">
      <c r="B22" s="134">
        <f>B20/B21</f>
        <v>3.8651520353451515E-3</v>
      </c>
      <c r="C22" s="135">
        <f>C20/C21</f>
        <v>0.10244604990652198</v>
      </c>
      <c r="D22" s="135">
        <f>D20/D21</f>
        <v>0.29073578174013509</v>
      </c>
      <c r="E22" s="136">
        <f>E20/E21</f>
        <v>0.55619543679718753</v>
      </c>
      <c r="F22" s="54" t="s">
        <v>545</v>
      </c>
      <c r="G22" s="301" t="s">
        <v>191</v>
      </c>
      <c r="H22" s="301"/>
      <c r="I22" s="301"/>
      <c r="J22" s="301"/>
      <c r="K22" s="301"/>
      <c r="L22" s="301"/>
      <c r="M22" s="301"/>
      <c r="N22" s="301"/>
    </row>
    <row r="23" spans="2:22" ht="54.75" customHeight="1" x14ac:dyDescent="0.25">
      <c r="B23" s="166">
        <f>('LEAP Region'!H24+'LEAP Region'!H25+'LEAP Region'!H27+'LEAP Region'!H28)*1000</f>
        <v>28306.139534883725</v>
      </c>
      <c r="C23" s="167">
        <f>('LEAP Region'!I24+'LEAP Region'!I25+'LEAP Region'!I27+'LEAP Region'!I28)*1000</f>
        <v>20308.558139534885</v>
      </c>
      <c r="D23" s="167">
        <f>('LEAP Region'!J24+'LEAP Region'!J25+'LEAP Region'!J27+'LEAP Region'!J28)*1000</f>
        <v>11598.976744186049</v>
      </c>
      <c r="E23" s="168">
        <f>('LEAP Region'!K24+'LEAP Region'!K25+'LEAP Region'!K27+'LEAP Region'!K28)*1000</f>
        <v>1614.4186046511632</v>
      </c>
      <c r="G23" s="301" t="s">
        <v>470</v>
      </c>
      <c r="H23" s="301"/>
      <c r="I23" s="301"/>
      <c r="J23" s="301"/>
      <c r="K23" s="301"/>
      <c r="L23" s="301"/>
      <c r="M23" s="301"/>
      <c r="N23" s="301"/>
    </row>
    <row r="24" spans="2:22" ht="54.75" customHeight="1" x14ac:dyDescent="0.25">
      <c r="B24" s="158">
        <f>res_share_state_target*('LEAP Statewide'!H25+'LEAP Statewide'!H28)*1000000/'2.Trans Targets'!B23</f>
        <v>0.12047528891144009</v>
      </c>
      <c r="C24" s="145">
        <f>res_share_state_target*('LEAP Statewide'!I25+'LEAP Statewide'!I28)*1000000/'2.Trans Targets'!C23</f>
        <v>0.12593916004531605</v>
      </c>
      <c r="D24" s="145">
        <f>res_share_state_target*('LEAP Statewide'!J25+'LEAP Statewide'!J28)*1000000/'2.Trans Targets'!D23</f>
        <v>0.14700393033126824</v>
      </c>
      <c r="E24" s="159">
        <f>res_share_state_target*('LEAP Statewide'!K25+'LEAP Statewide'!K28)*1000000/'2.Trans Targets'!E23</f>
        <v>0.52808334972847903</v>
      </c>
      <c r="G24" s="301" t="s">
        <v>192</v>
      </c>
      <c r="H24" s="301"/>
      <c r="I24" s="301"/>
      <c r="J24" s="301"/>
      <c r="K24" s="301"/>
      <c r="L24" s="301"/>
      <c r="M24" s="301"/>
      <c r="N24" s="30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301" t="s">
        <v>193</v>
      </c>
      <c r="H25" s="301"/>
      <c r="I25" s="301"/>
      <c r="J25" s="301"/>
      <c r="K25" s="301"/>
      <c r="L25" s="301"/>
      <c r="M25" s="301"/>
      <c r="N25" s="301"/>
    </row>
    <row r="26" spans="2:22" ht="54.75" customHeight="1" x14ac:dyDescent="0.25">
      <c r="B26" s="128">
        <f>IF($F$22="adj",'1.Current Trans'!$O$13*B23/B25,B23/B25)</f>
        <v>422.30372869475872</v>
      </c>
      <c r="C26" s="129">
        <f>IF($F$22="adj",'1.Current Trans'!$O$13*C23/C25,C23/C25)</f>
        <v>354.32385851576896</v>
      </c>
      <c r="D26" s="129">
        <f>IF($F$22="adj",'1.Current Trans'!$O$13*D23/D25,D23/D25)</f>
        <v>243.65127545099421</v>
      </c>
      <c r="E26" s="130">
        <f>IF($F$22="adj",'1.Current Trans'!$O$13*E23/E25,E23/E25)</f>
        <v>42.604349673496891</v>
      </c>
      <c r="G26" s="301" t="s">
        <v>107</v>
      </c>
      <c r="H26" s="301"/>
      <c r="I26" s="301"/>
      <c r="J26" s="301"/>
      <c r="K26" s="301"/>
      <c r="L26" s="301"/>
      <c r="M26" s="301"/>
      <c r="N26" s="301"/>
    </row>
    <row r="27" spans="2:22" ht="54.75" customHeight="1" x14ac:dyDescent="0.25">
      <c r="B27" s="134">
        <f>B26/B21</f>
        <v>0.93430028472291748</v>
      </c>
      <c r="C27" s="135">
        <f>C26/C21</f>
        <v>0.6968020816435968</v>
      </c>
      <c r="D27" s="135">
        <f>D26/D21</f>
        <v>0.42591723011208427</v>
      </c>
      <c r="E27" s="136">
        <f>E26/E21</f>
        <v>6.6199992209082653E-2</v>
      </c>
      <c r="G27" s="301" t="s">
        <v>108</v>
      </c>
      <c r="H27" s="301"/>
      <c r="I27" s="301"/>
      <c r="J27" s="301"/>
      <c r="K27" s="301"/>
      <c r="L27" s="301"/>
      <c r="M27" s="301"/>
      <c r="N27" s="301"/>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99348.83720930235</v>
      </c>
      <c r="C5" s="172">
        <f>'LEAP Region'!C49*1000000</f>
        <v>463627.9069767443</v>
      </c>
      <c r="D5" s="172">
        <f>'LEAP Region'!D49*1000000</f>
        <v>728558.13953488378</v>
      </c>
      <c r="E5" s="173">
        <f>'LEAP Region'!E49*1000000</f>
        <v>1068000.0000000002</v>
      </c>
      <c r="G5" s="301" t="s">
        <v>186</v>
      </c>
      <c r="H5" s="301"/>
      <c r="I5" s="301"/>
      <c r="J5" s="301"/>
      <c r="K5" s="301"/>
      <c r="L5" s="301"/>
      <c r="M5" s="301"/>
      <c r="N5" s="301"/>
    </row>
    <row r="6" spans="2:14" s="126" customFormat="1" ht="45" customHeight="1" x14ac:dyDescent="0.2">
      <c r="B6" s="303">
        <v>400</v>
      </c>
      <c r="C6" s="304"/>
      <c r="D6" s="304"/>
      <c r="E6" s="305"/>
      <c r="G6" s="301" t="s">
        <v>475</v>
      </c>
      <c r="H6" s="301"/>
      <c r="I6" s="301"/>
      <c r="J6" s="301"/>
      <c r="K6" s="301"/>
      <c r="L6" s="301"/>
      <c r="M6" s="301"/>
      <c r="N6" s="301"/>
    </row>
    <row r="7" spans="2:14" s="126" customFormat="1" ht="45" customHeight="1" x14ac:dyDescent="0.2">
      <c r="B7" s="171">
        <f>B5/13/$B$6</f>
        <v>19.105545617173529</v>
      </c>
      <c r="C7" s="172">
        <f>C5/13/$B$6</f>
        <v>89.15921288014313</v>
      </c>
      <c r="D7" s="172">
        <f>D5/13/$B$6</f>
        <v>140.10733452593919</v>
      </c>
      <c r="E7" s="172">
        <f>E5/13/$B$6</f>
        <v>205.38461538461542</v>
      </c>
      <c r="G7" s="301" t="s">
        <v>185</v>
      </c>
      <c r="H7" s="301"/>
      <c r="I7" s="301"/>
      <c r="J7" s="301"/>
      <c r="K7" s="301"/>
      <c r="L7" s="301"/>
      <c r="M7" s="301"/>
      <c r="N7" s="301"/>
    </row>
    <row r="8" spans="2:14" s="126" customFormat="1" ht="45" customHeight="1" x14ac:dyDescent="0.2">
      <c r="B8" s="36">
        <f>'2.Heat Targets'!B31*1.5</f>
        <v>325.5</v>
      </c>
      <c r="C8" s="36">
        <f>'2.Heat Targets'!C31*1.5</f>
        <v>345.03000000000003</v>
      </c>
      <c r="D8" s="36">
        <f>'2.Heat Targets'!D31*1.5</f>
        <v>365.73180000000002</v>
      </c>
      <c r="E8" s="36">
        <f>'2.Heat Targets'!E31*1.5</f>
        <v>387.6757080000001</v>
      </c>
      <c r="G8" s="301" t="s">
        <v>187</v>
      </c>
      <c r="H8" s="301"/>
      <c r="I8" s="301"/>
      <c r="J8" s="301"/>
      <c r="K8" s="301"/>
      <c r="L8" s="301"/>
      <c r="M8" s="301"/>
      <c r="N8" s="301"/>
    </row>
    <row r="9" spans="2:14" s="126" customFormat="1" ht="45" customHeight="1" x14ac:dyDescent="0.2">
      <c r="B9" s="174">
        <f>B7/B8</f>
        <v>5.8695992679488572E-2</v>
      </c>
      <c r="C9" s="175">
        <f>C7/C8</f>
        <v>0.25841003066441504</v>
      </c>
      <c r="D9" s="175">
        <f>D7/D8</f>
        <v>0.38308764653754251</v>
      </c>
      <c r="E9" s="176">
        <f>E7/E8</f>
        <v>0.52978458837203013</v>
      </c>
      <c r="G9" s="301" t="s">
        <v>188</v>
      </c>
      <c r="H9" s="301"/>
      <c r="I9" s="301"/>
      <c r="J9" s="301"/>
      <c r="K9" s="301"/>
      <c r="L9" s="301"/>
      <c r="M9" s="301"/>
      <c r="N9" s="30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6"/>
      <c r="C17" s="306"/>
      <c r="D17" s="306"/>
      <c r="E17" s="306"/>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abSelected="1" topLeftCell="A12" zoomScale="70" zoomScaleNormal="70" workbookViewId="0">
      <selection activeCell="AB31" sqref="AB3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t="s">
        <v>570</v>
      </c>
      <c r="N16" s="222"/>
      <c r="O16" s="222" t="s">
        <v>566</v>
      </c>
      <c r="P16" s="222"/>
      <c r="Q16" s="223"/>
      <c r="R16" s="221">
        <v>7.0000000000000001E-3</v>
      </c>
    </row>
    <row r="17" spans="1:17" x14ac:dyDescent="0.25">
      <c r="B17" s="21"/>
      <c r="C17" s="21"/>
      <c r="D17" s="21"/>
      <c r="E17" s="21"/>
      <c r="H17" s="21"/>
      <c r="I17" s="21"/>
      <c r="J17" s="21"/>
      <c r="K17" s="30"/>
      <c r="L17" s="22"/>
      <c r="M17" s="222" t="s">
        <v>568</v>
      </c>
      <c r="N17" s="222"/>
      <c r="O17" s="222"/>
      <c r="P17" s="222"/>
      <c r="Q17" s="223"/>
    </row>
    <row r="18" spans="1:17" x14ac:dyDescent="0.25">
      <c r="B18" s="21"/>
      <c r="L18" s="22"/>
      <c r="M18" s="223"/>
      <c r="N18" s="223">
        <v>2015</v>
      </c>
      <c r="O18" s="223">
        <v>2025</v>
      </c>
      <c r="P18" s="223">
        <v>2035</v>
      </c>
      <c r="Q18" s="223">
        <v>2050</v>
      </c>
    </row>
    <row r="19" spans="1:17" x14ac:dyDescent="0.25">
      <c r="B19" s="21"/>
      <c r="C19" s="21"/>
      <c r="D19" s="21"/>
      <c r="E19" s="21"/>
      <c r="H19" s="21"/>
      <c r="I19" s="21"/>
      <c r="J19" s="21"/>
      <c r="K19" s="21"/>
      <c r="L19" s="22"/>
      <c r="M19" s="223" t="s">
        <v>1</v>
      </c>
      <c r="N19" s="224">
        <f>H4*$R$16*1000</f>
        <v>98</v>
      </c>
      <c r="O19" s="224">
        <f>I4*$R$16*1000</f>
        <v>350.00000000000006</v>
      </c>
      <c r="P19" s="224">
        <f>J4*$R$16*1000</f>
        <v>574.00000000000011</v>
      </c>
      <c r="Q19" s="224">
        <f>K4*$R$16*1000</f>
        <v>889</v>
      </c>
    </row>
    <row r="20" spans="1:17" x14ac:dyDescent="0.25">
      <c r="B20" s="21"/>
      <c r="C20" s="21"/>
      <c r="D20" s="21"/>
      <c r="E20" s="21"/>
      <c r="H20" s="23"/>
      <c r="I20" s="23"/>
      <c r="J20" s="23"/>
      <c r="K20" s="23"/>
      <c r="L20" s="22"/>
      <c r="M20" s="222" t="s">
        <v>3</v>
      </c>
      <c r="N20" s="224">
        <f t="shared" ref="N20:N28" si="0">H5*$R$16*1000</f>
        <v>13013</v>
      </c>
      <c r="O20" s="224">
        <f t="shared" ref="O20:O28" si="1">I5*$R$16*1000</f>
        <v>10290.000000000002</v>
      </c>
      <c r="P20" s="224">
        <f t="shared" ref="P20:P28" si="2">J5*$R$16*1000</f>
        <v>7896</v>
      </c>
      <c r="Q20" s="224">
        <f t="shared" ref="Q20:Q28" si="3">K5*$R$16*1000</f>
        <v>5250</v>
      </c>
    </row>
    <row r="21" spans="1:17" x14ac:dyDescent="0.25">
      <c r="L21" s="22"/>
      <c r="M21" s="222" t="s">
        <v>548</v>
      </c>
      <c r="N21" s="224">
        <f t="shared" si="0"/>
        <v>1449</v>
      </c>
      <c r="O21" s="224">
        <f t="shared" si="1"/>
        <v>1309</v>
      </c>
      <c r="P21" s="224">
        <f t="shared" si="2"/>
        <v>714</v>
      </c>
      <c r="Q21" s="224">
        <f t="shared" si="3"/>
        <v>217</v>
      </c>
    </row>
    <row r="22" spans="1:17" ht="33.75" customHeight="1" x14ac:dyDescent="0.25">
      <c r="A22" s="231" t="s">
        <v>472</v>
      </c>
      <c r="B22" s="232"/>
      <c r="C22" s="232"/>
      <c r="D22" s="232"/>
      <c r="E22" s="233"/>
      <c r="G22" s="231" t="s">
        <v>473</v>
      </c>
      <c r="H22" s="232"/>
      <c r="I22" s="232"/>
      <c r="J22" s="232"/>
      <c r="K22" s="233"/>
      <c r="L22" s="22"/>
      <c r="M22" s="222" t="s">
        <v>5</v>
      </c>
      <c r="N22" s="224">
        <f t="shared" si="0"/>
        <v>161</v>
      </c>
      <c r="O22" s="224">
        <f t="shared" si="1"/>
        <v>770</v>
      </c>
      <c r="P22" s="224">
        <f t="shared" si="2"/>
        <v>1575</v>
      </c>
      <c r="Q22" s="224">
        <f t="shared" si="3"/>
        <v>1890.0000000000002</v>
      </c>
    </row>
    <row r="23" spans="1:17" x14ac:dyDescent="0.25">
      <c r="A23" s="14" t="s">
        <v>0</v>
      </c>
      <c r="B23" s="15">
        <v>2015</v>
      </c>
      <c r="C23" s="15">
        <v>2025</v>
      </c>
      <c r="D23" s="15">
        <v>2035</v>
      </c>
      <c r="E23" s="16">
        <v>2050</v>
      </c>
      <c r="G23" s="14" t="s">
        <v>0</v>
      </c>
      <c r="H23" s="15">
        <v>2015</v>
      </c>
      <c r="I23" s="15">
        <v>2025</v>
      </c>
      <c r="J23" s="15">
        <v>2035</v>
      </c>
      <c r="K23" s="16">
        <v>2050</v>
      </c>
      <c r="M23" s="222" t="s">
        <v>6</v>
      </c>
      <c r="N23" s="224">
        <f t="shared" si="0"/>
        <v>112</v>
      </c>
      <c r="O23" s="224">
        <f t="shared" si="1"/>
        <v>322</v>
      </c>
      <c r="P23" s="224">
        <f t="shared" si="2"/>
        <v>630</v>
      </c>
      <c r="Q23" s="224">
        <f t="shared" si="3"/>
        <v>882</v>
      </c>
    </row>
    <row r="24" spans="1:17" x14ac:dyDescent="0.25">
      <c r="A24" s="1" t="s">
        <v>21</v>
      </c>
      <c r="B24" s="4">
        <v>2912</v>
      </c>
      <c r="C24" s="4">
        <v>2370</v>
      </c>
      <c r="D24" s="4">
        <v>2020</v>
      </c>
      <c r="E24" s="5">
        <v>1696</v>
      </c>
      <c r="G24" s="1" t="s">
        <v>21</v>
      </c>
      <c r="H24" s="4">
        <v>2923</v>
      </c>
      <c r="I24" s="4">
        <v>2094</v>
      </c>
      <c r="J24" s="4">
        <v>1166</v>
      </c>
      <c r="K24" s="5">
        <v>91</v>
      </c>
      <c r="M24" s="222" t="s">
        <v>7</v>
      </c>
      <c r="N24" s="224">
        <f t="shared" si="0"/>
        <v>840</v>
      </c>
      <c r="O24" s="224">
        <f t="shared" si="1"/>
        <v>973</v>
      </c>
      <c r="P24" s="224">
        <f t="shared" si="2"/>
        <v>1127</v>
      </c>
      <c r="Q24" s="224">
        <f t="shared" si="3"/>
        <v>0</v>
      </c>
    </row>
    <row r="25" spans="1:17" x14ac:dyDescent="0.25">
      <c r="A25" s="1" t="s">
        <v>22</v>
      </c>
      <c r="B25" s="4">
        <v>395</v>
      </c>
      <c r="C25" s="4">
        <v>319</v>
      </c>
      <c r="D25" s="4">
        <v>270</v>
      </c>
      <c r="E25" s="5">
        <v>224</v>
      </c>
      <c r="G25" s="1" t="s">
        <v>22</v>
      </c>
      <c r="H25" s="4">
        <v>390</v>
      </c>
      <c r="I25" s="4">
        <v>260</v>
      </c>
      <c r="J25" s="4">
        <v>141</v>
      </c>
      <c r="K25" s="5">
        <v>16</v>
      </c>
      <c r="M25" s="222" t="s">
        <v>8</v>
      </c>
      <c r="N25" s="224">
        <f t="shared" si="0"/>
        <v>4949</v>
      </c>
      <c r="O25" s="224">
        <f t="shared" si="1"/>
        <v>3871</v>
      </c>
      <c r="P25" s="224">
        <f t="shared" si="2"/>
        <v>2478</v>
      </c>
      <c r="Q25" s="224">
        <f t="shared" si="3"/>
        <v>868</v>
      </c>
    </row>
    <row r="26" spans="1:17" x14ac:dyDescent="0.25">
      <c r="A26" s="1" t="s">
        <v>23</v>
      </c>
      <c r="B26" s="4">
        <v>3</v>
      </c>
      <c r="C26" s="4">
        <v>9</v>
      </c>
      <c r="D26" s="4">
        <v>14</v>
      </c>
      <c r="E26" s="5">
        <v>21</v>
      </c>
      <c r="G26" s="1" t="s">
        <v>23</v>
      </c>
      <c r="H26" s="4">
        <v>3</v>
      </c>
      <c r="I26" s="4">
        <v>82</v>
      </c>
      <c r="J26" s="4">
        <v>238</v>
      </c>
      <c r="K26" s="5">
        <v>461</v>
      </c>
      <c r="M26" s="222" t="s">
        <v>9</v>
      </c>
      <c r="N26" s="224">
        <f t="shared" si="0"/>
        <v>0</v>
      </c>
      <c r="O26" s="224">
        <f t="shared" si="1"/>
        <v>0</v>
      </c>
      <c r="P26" s="224">
        <f t="shared" si="2"/>
        <v>0</v>
      </c>
      <c r="Q26" s="224">
        <f t="shared" si="3"/>
        <v>0</v>
      </c>
    </row>
    <row r="27" spans="1:17" x14ac:dyDescent="0.25">
      <c r="A27" s="1" t="s">
        <v>20</v>
      </c>
      <c r="B27" s="4">
        <v>106</v>
      </c>
      <c r="C27" s="4">
        <v>100</v>
      </c>
      <c r="D27" s="4">
        <v>98</v>
      </c>
      <c r="E27" s="5">
        <v>97</v>
      </c>
      <c r="G27" s="1" t="s">
        <v>20</v>
      </c>
      <c r="H27" s="4">
        <v>98</v>
      </c>
      <c r="I27" s="4">
        <v>61</v>
      </c>
      <c r="J27" s="4">
        <v>33</v>
      </c>
      <c r="K27" s="5">
        <v>1</v>
      </c>
      <c r="M27" s="222" t="s">
        <v>10</v>
      </c>
      <c r="N27" s="224">
        <f t="shared" si="0"/>
        <v>11858</v>
      </c>
      <c r="O27" s="224">
        <f t="shared" si="1"/>
        <v>7966</v>
      </c>
      <c r="P27" s="224">
        <f t="shared" si="2"/>
        <v>4207</v>
      </c>
      <c r="Q27" s="224">
        <f t="shared" si="3"/>
        <v>0</v>
      </c>
    </row>
    <row r="28" spans="1:17" x14ac:dyDescent="0.25">
      <c r="A28" s="1" t="s">
        <v>18</v>
      </c>
      <c r="B28" s="4">
        <v>1</v>
      </c>
      <c r="C28" s="4">
        <v>1</v>
      </c>
      <c r="D28" s="4">
        <v>1</v>
      </c>
      <c r="E28" s="5">
        <v>0</v>
      </c>
      <c r="G28" s="1" t="s">
        <v>18</v>
      </c>
      <c r="H28" s="4">
        <v>8</v>
      </c>
      <c r="I28" s="4">
        <v>38</v>
      </c>
      <c r="J28" s="4">
        <v>61</v>
      </c>
      <c r="K28" s="5">
        <v>87</v>
      </c>
      <c r="M28" s="222" t="s">
        <v>549</v>
      </c>
      <c r="N28" s="224">
        <f t="shared" si="0"/>
        <v>2212</v>
      </c>
      <c r="O28" s="224">
        <f t="shared" si="1"/>
        <v>2471</v>
      </c>
      <c r="P28" s="224">
        <f t="shared" si="2"/>
        <v>2219</v>
      </c>
      <c r="Q28" s="224">
        <f t="shared" si="3"/>
        <v>2072</v>
      </c>
    </row>
    <row r="29" spans="1:17" x14ac:dyDescent="0.25">
      <c r="A29" s="6" t="s">
        <v>24</v>
      </c>
      <c r="B29" s="18">
        <v>0</v>
      </c>
      <c r="C29" s="18">
        <v>0</v>
      </c>
      <c r="D29" s="18">
        <v>0</v>
      </c>
      <c r="E29" s="19">
        <v>0</v>
      </c>
      <c r="G29" s="1" t="s">
        <v>24</v>
      </c>
      <c r="H29" s="4">
        <v>0</v>
      </c>
      <c r="I29" s="4">
        <v>0</v>
      </c>
      <c r="J29" s="4">
        <v>0</v>
      </c>
      <c r="K29" s="5">
        <v>0</v>
      </c>
      <c r="M29" s="222" t="s">
        <v>550</v>
      </c>
      <c r="N29" s="225">
        <f>(B14-H14)*$R$16*1000</f>
        <v>917</v>
      </c>
      <c r="O29" s="225">
        <f t="shared" ref="O29:Q29" si="4">(C14-I14)*$R$16*1000</f>
        <v>1533.0000000000002</v>
      </c>
      <c r="P29" s="225">
        <f t="shared" si="4"/>
        <v>3248</v>
      </c>
      <c r="Q29" s="225">
        <f t="shared" si="4"/>
        <v>4767</v>
      </c>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t="s">
        <v>569</v>
      </c>
      <c r="O48" s="223"/>
      <c r="P48" s="223"/>
      <c r="Q48" s="226">
        <v>5.0000000000000001E-3</v>
      </c>
    </row>
    <row r="49" spans="1:17" ht="89.25" customHeight="1" x14ac:dyDescent="0.25">
      <c r="A49" s="234"/>
      <c r="B49" s="214">
        <v>12</v>
      </c>
      <c r="C49" s="213">
        <v>56</v>
      </c>
      <c r="D49" s="213">
        <v>88</v>
      </c>
      <c r="E49" s="213">
        <v>129</v>
      </c>
      <c r="M49" s="223" t="s">
        <v>567</v>
      </c>
      <c r="N49" s="223"/>
      <c r="O49" s="223"/>
      <c r="P49" s="223"/>
      <c r="Q49" s="223"/>
    </row>
    <row r="50" spans="1:17" x14ac:dyDescent="0.25">
      <c r="M50" s="223"/>
      <c r="N50" s="223">
        <v>2015</v>
      </c>
      <c r="O50" s="223">
        <v>2025</v>
      </c>
      <c r="P50" s="223">
        <v>2035</v>
      </c>
      <c r="Q50" s="223">
        <v>2050</v>
      </c>
    </row>
    <row r="51" spans="1:17" x14ac:dyDescent="0.25">
      <c r="M51" s="223" t="s">
        <v>13</v>
      </c>
      <c r="N51" s="223">
        <f>T4*$Q$48*1000</f>
        <v>40</v>
      </c>
      <c r="O51" s="223">
        <f t="shared" ref="O51:Q57" si="5">U4*$Q$48*1000</f>
        <v>245</v>
      </c>
      <c r="P51" s="223">
        <f t="shared" si="5"/>
        <v>460</v>
      </c>
      <c r="Q51" s="223">
        <f t="shared" si="5"/>
        <v>820.00000000000011</v>
      </c>
    </row>
    <row r="52" spans="1:17" x14ac:dyDescent="0.25">
      <c r="M52" s="223" t="s">
        <v>14</v>
      </c>
      <c r="N52" s="223">
        <f t="shared" ref="N52:N57" si="6">T5*$Q$48*1000</f>
        <v>2040</v>
      </c>
      <c r="O52" s="223">
        <f t="shared" si="5"/>
        <v>1520</v>
      </c>
      <c r="P52" s="223">
        <f t="shared" si="5"/>
        <v>935</v>
      </c>
      <c r="Q52" s="223">
        <f t="shared" si="5"/>
        <v>5</v>
      </c>
    </row>
    <row r="53" spans="1:17" x14ac:dyDescent="0.25">
      <c r="M53" s="223" t="s">
        <v>15</v>
      </c>
      <c r="N53" s="223">
        <f t="shared" si="6"/>
        <v>3720</v>
      </c>
      <c r="O53" s="223">
        <f t="shared" si="5"/>
        <v>3685</v>
      </c>
      <c r="P53" s="223">
        <f t="shared" si="5"/>
        <v>3570.0000000000005</v>
      </c>
      <c r="Q53" s="223">
        <f t="shared" si="5"/>
        <v>3460</v>
      </c>
    </row>
    <row r="54" spans="1:17" x14ac:dyDescent="0.25">
      <c r="M54" s="223" t="s">
        <v>8</v>
      </c>
      <c r="N54" s="223">
        <f t="shared" si="6"/>
        <v>1495</v>
      </c>
      <c r="O54" s="223">
        <f t="shared" si="5"/>
        <v>1290</v>
      </c>
      <c r="P54" s="223">
        <f t="shared" si="5"/>
        <v>1045</v>
      </c>
      <c r="Q54" s="223">
        <f t="shared" si="5"/>
        <v>665</v>
      </c>
    </row>
    <row r="55" spans="1:17" x14ac:dyDescent="0.25">
      <c r="M55" s="223" t="s">
        <v>9</v>
      </c>
      <c r="N55" s="223">
        <f t="shared" si="6"/>
        <v>0</v>
      </c>
      <c r="O55" s="223">
        <f t="shared" si="5"/>
        <v>0</v>
      </c>
      <c r="P55" s="223">
        <f t="shared" si="5"/>
        <v>0</v>
      </c>
      <c r="Q55" s="223">
        <f t="shared" si="5"/>
        <v>0</v>
      </c>
    </row>
    <row r="56" spans="1:17" x14ac:dyDescent="0.25">
      <c r="M56" s="223" t="s">
        <v>16</v>
      </c>
      <c r="N56" s="223">
        <f t="shared" si="6"/>
        <v>210</v>
      </c>
      <c r="O56" s="223">
        <f t="shared" si="5"/>
        <v>155</v>
      </c>
      <c r="P56" s="223">
        <f t="shared" si="5"/>
        <v>95</v>
      </c>
      <c r="Q56" s="223">
        <f t="shared" si="5"/>
        <v>0</v>
      </c>
    </row>
    <row r="57" spans="1:17" x14ac:dyDescent="0.25">
      <c r="M57" s="223" t="s">
        <v>17</v>
      </c>
      <c r="N57" s="223">
        <f t="shared" si="6"/>
        <v>705</v>
      </c>
      <c r="O57" s="223">
        <f t="shared" si="5"/>
        <v>965</v>
      </c>
      <c r="P57" s="223">
        <f t="shared" si="5"/>
        <v>1220</v>
      </c>
      <c r="Q57" s="223">
        <f t="shared" si="5"/>
        <v>1660.0000000000002</v>
      </c>
    </row>
    <row r="58" spans="1:17" x14ac:dyDescent="0.25">
      <c r="M58" s="223" t="s">
        <v>550</v>
      </c>
      <c r="N58" s="223">
        <f>(N11-T11)*$Q$48*1000</f>
        <v>70</v>
      </c>
      <c r="O58" s="223">
        <f>(O11-U11)*$Q$48*1000</f>
        <v>435</v>
      </c>
      <c r="P58" s="223">
        <f t="shared" ref="P58:Q58" si="7">(P11-V11)*$Q$48*1000</f>
        <v>825.00000000000011</v>
      </c>
      <c r="Q58" s="223">
        <f t="shared" si="7"/>
        <v>1465</v>
      </c>
    </row>
    <row r="60" spans="1:17" ht="15.75" thickBot="1" x14ac:dyDescent="0.3"/>
    <row r="61" spans="1:17" ht="15.75" thickBot="1" x14ac:dyDescent="0.3">
      <c r="N61" t="s">
        <v>572</v>
      </c>
      <c r="Q61" s="229">
        <v>8.0000000000000002E-3</v>
      </c>
    </row>
    <row r="62" spans="1:17" x14ac:dyDescent="0.25">
      <c r="M62" s="227" t="s">
        <v>571</v>
      </c>
      <c r="N62" s="228"/>
      <c r="O62" s="228"/>
      <c r="P62" s="228"/>
      <c r="Q62" s="228"/>
    </row>
    <row r="63" spans="1:17" x14ac:dyDescent="0.25">
      <c r="M63" s="223"/>
      <c r="N63" s="223">
        <v>2015</v>
      </c>
      <c r="O63" s="223">
        <v>2025</v>
      </c>
      <c r="P63" s="223">
        <v>2035</v>
      </c>
      <c r="Q63" s="223">
        <v>2050</v>
      </c>
    </row>
    <row r="64" spans="1:17" x14ac:dyDescent="0.25">
      <c r="M64" s="223" t="s">
        <v>21</v>
      </c>
      <c r="N64" s="223">
        <f>H24*$Q$61*1000</f>
        <v>23384</v>
      </c>
      <c r="O64" s="223">
        <f t="shared" ref="O64:Q68" si="8">I24*$Q$61*1000</f>
        <v>16752</v>
      </c>
      <c r="P64" s="223">
        <f t="shared" si="8"/>
        <v>9328</v>
      </c>
      <c r="Q64" s="223">
        <f t="shared" si="8"/>
        <v>728</v>
      </c>
    </row>
    <row r="65" spans="13:17" x14ac:dyDescent="0.25">
      <c r="M65" s="223" t="s">
        <v>22</v>
      </c>
      <c r="N65" s="223">
        <f t="shared" ref="N65:N68" si="9">H25*$Q$61*1000</f>
        <v>3120</v>
      </c>
      <c r="O65" s="223">
        <f t="shared" si="8"/>
        <v>2080</v>
      </c>
      <c r="P65" s="223">
        <f t="shared" si="8"/>
        <v>1128</v>
      </c>
      <c r="Q65" s="223">
        <f t="shared" si="8"/>
        <v>128</v>
      </c>
    </row>
    <row r="66" spans="13:17" x14ac:dyDescent="0.25">
      <c r="M66" s="223" t="s">
        <v>23</v>
      </c>
      <c r="N66" s="223">
        <f t="shared" si="9"/>
        <v>24</v>
      </c>
      <c r="O66" s="223">
        <f t="shared" si="8"/>
        <v>656</v>
      </c>
      <c r="P66" s="223">
        <f t="shared" si="8"/>
        <v>1904.0000000000002</v>
      </c>
      <c r="Q66" s="223">
        <f t="shared" si="8"/>
        <v>3688</v>
      </c>
    </row>
    <row r="67" spans="13:17" x14ac:dyDescent="0.25">
      <c r="M67" s="223" t="s">
        <v>20</v>
      </c>
      <c r="N67" s="223">
        <f t="shared" si="9"/>
        <v>784</v>
      </c>
      <c r="O67" s="223">
        <f t="shared" si="8"/>
        <v>488</v>
      </c>
      <c r="P67" s="223">
        <f t="shared" si="8"/>
        <v>264</v>
      </c>
      <c r="Q67" s="223">
        <f t="shared" si="8"/>
        <v>8</v>
      </c>
    </row>
    <row r="68" spans="13:17" x14ac:dyDescent="0.25">
      <c r="M68" s="223" t="s">
        <v>18</v>
      </c>
      <c r="N68" s="223">
        <f t="shared" si="9"/>
        <v>64</v>
      </c>
      <c r="O68" s="223">
        <f t="shared" si="8"/>
        <v>304</v>
      </c>
      <c r="P68" s="223">
        <f t="shared" si="8"/>
        <v>488</v>
      </c>
      <c r="Q68" s="223">
        <f t="shared" si="8"/>
        <v>696.00000000000011</v>
      </c>
    </row>
    <row r="69" spans="13:17" x14ac:dyDescent="0.25">
      <c r="M69" s="230" t="s">
        <v>550</v>
      </c>
      <c r="O69">
        <f t="shared" ref="O69:Q69" si="10">(C30-I30)*$Q$61*1000</f>
        <v>2112</v>
      </c>
      <c r="P69">
        <f t="shared" si="10"/>
        <v>6112</v>
      </c>
      <c r="Q69">
        <f t="shared" si="10"/>
        <v>11056.000000000002</v>
      </c>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2017-04-28T23:51:02Z</dcterms:modified>
</cp:coreProperties>
</file>